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0730" windowHeight="11760"/>
  </bookViews>
  <sheets>
    <sheet name="January 2017" sheetId="1" r:id="rId1"/>
    <sheet name="Sheet2" sheetId="2" r:id="rId2"/>
    <sheet name="Sheet3" sheetId="3" r:id="rId3"/>
  </sheets>
  <externalReferences>
    <externalReference r:id="rId4"/>
  </externalReferences>
  <calcPr calcId="145621"/>
</workbook>
</file>

<file path=xl/calcChain.xml><?xml version="1.0" encoding="utf-8"?>
<calcChain xmlns="http://schemas.openxmlformats.org/spreadsheetml/2006/main">
  <c r="AO696" i="1" l="1"/>
  <c r="AN696" i="1"/>
  <c r="AM696" i="1"/>
  <c r="AL696" i="1"/>
  <c r="AK696" i="1"/>
  <c r="AJ696" i="1"/>
  <c r="AI696" i="1"/>
  <c r="AG696" i="1"/>
  <c r="AE696" i="1"/>
  <c r="AD696" i="1"/>
  <c r="AB696" i="1"/>
  <c r="AA696" i="1"/>
  <c r="Z696" i="1"/>
  <c r="X696" i="1"/>
  <c r="W696" i="1"/>
  <c r="V696" i="1"/>
  <c r="S696" i="1"/>
  <c r="R696" i="1"/>
  <c r="Q696" i="1"/>
  <c r="O696" i="1"/>
  <c r="M696" i="1"/>
  <c r="L696" i="1"/>
  <c r="K696" i="1"/>
  <c r="J696" i="1"/>
  <c r="I696" i="1"/>
  <c r="H696" i="1"/>
  <c r="G696" i="1"/>
  <c r="F696" i="1"/>
  <c r="E696" i="1"/>
  <c r="D696" i="1"/>
  <c r="AO695" i="1"/>
  <c r="AN695" i="1"/>
  <c r="AM695" i="1"/>
  <c r="AL695" i="1"/>
  <c r="AK695" i="1"/>
  <c r="AJ695" i="1"/>
  <c r="AI695" i="1"/>
  <c r="AG695" i="1"/>
  <c r="AE695" i="1"/>
  <c r="AD695" i="1"/>
  <c r="AB695" i="1"/>
  <c r="AA695" i="1"/>
  <c r="Z695" i="1"/>
  <c r="X695" i="1"/>
  <c r="W695" i="1"/>
  <c r="V695" i="1"/>
  <c r="S695" i="1"/>
  <c r="R695" i="1"/>
  <c r="Q695" i="1"/>
  <c r="O695" i="1"/>
  <c r="M695" i="1"/>
  <c r="L695" i="1"/>
  <c r="K695" i="1"/>
  <c r="J695" i="1"/>
  <c r="I695" i="1"/>
  <c r="H695" i="1"/>
  <c r="G695" i="1"/>
  <c r="F695" i="1"/>
  <c r="E695" i="1"/>
  <c r="D695" i="1"/>
  <c r="AO694" i="1"/>
  <c r="AN694" i="1"/>
  <c r="AM694" i="1"/>
  <c r="AL694" i="1"/>
  <c r="AK694" i="1"/>
  <c r="AJ694" i="1"/>
  <c r="AI694" i="1"/>
  <c r="AG694" i="1"/>
  <c r="AE694" i="1"/>
  <c r="AD694" i="1"/>
  <c r="AB694" i="1"/>
  <c r="AA694" i="1"/>
  <c r="Z694" i="1"/>
  <c r="X694" i="1"/>
  <c r="W694" i="1"/>
  <c r="V694" i="1"/>
  <c r="S694" i="1"/>
  <c r="R694" i="1"/>
  <c r="Q694" i="1"/>
  <c r="O694" i="1"/>
  <c r="M694" i="1"/>
  <c r="L694" i="1"/>
  <c r="K694" i="1"/>
  <c r="J694" i="1"/>
  <c r="I694" i="1"/>
  <c r="H694" i="1"/>
  <c r="G694" i="1"/>
  <c r="F694" i="1"/>
  <c r="E694" i="1"/>
  <c r="D694" i="1"/>
  <c r="AO693" i="1"/>
  <c r="AN693" i="1"/>
  <c r="AM693" i="1"/>
  <c r="AL693" i="1"/>
  <c r="AK693" i="1"/>
  <c r="AJ693" i="1"/>
  <c r="AI693" i="1"/>
  <c r="AG693" i="1"/>
  <c r="AE693" i="1"/>
  <c r="AD693" i="1"/>
  <c r="AB693" i="1"/>
  <c r="AA693" i="1"/>
  <c r="Z693" i="1"/>
  <c r="X693" i="1"/>
  <c r="W693" i="1"/>
  <c r="V693" i="1"/>
  <c r="S693" i="1"/>
  <c r="R693" i="1"/>
  <c r="Q693" i="1"/>
  <c r="O693" i="1"/>
  <c r="M693" i="1"/>
  <c r="L693" i="1"/>
  <c r="K693" i="1"/>
  <c r="J693" i="1"/>
  <c r="I693" i="1"/>
  <c r="H693" i="1"/>
  <c r="G693" i="1"/>
  <c r="F693" i="1"/>
  <c r="E693" i="1"/>
  <c r="D693" i="1"/>
  <c r="AO692" i="1"/>
  <c r="AN692" i="1"/>
  <c r="AM692" i="1"/>
  <c r="AL692" i="1"/>
  <c r="AK692" i="1"/>
  <c r="AJ692" i="1"/>
  <c r="AI692" i="1"/>
  <c r="AG692" i="1"/>
  <c r="AE692" i="1"/>
  <c r="AD692" i="1"/>
  <c r="AB692" i="1"/>
  <c r="AA692" i="1"/>
  <c r="Z692" i="1"/>
  <c r="X692" i="1"/>
  <c r="W692" i="1"/>
  <c r="V692" i="1"/>
  <c r="S692" i="1"/>
  <c r="R692" i="1"/>
  <c r="Q692" i="1"/>
  <c r="O692" i="1"/>
  <c r="M692" i="1"/>
  <c r="L692" i="1"/>
  <c r="K692" i="1"/>
  <c r="J692" i="1"/>
  <c r="I692" i="1"/>
  <c r="H692" i="1"/>
  <c r="G692" i="1"/>
  <c r="F692" i="1"/>
  <c r="E692" i="1"/>
  <c r="D692" i="1"/>
  <c r="AO691" i="1"/>
  <c r="AN691" i="1"/>
  <c r="AM691" i="1"/>
  <c r="AL691" i="1"/>
  <c r="AK691" i="1"/>
  <c r="AJ691" i="1"/>
  <c r="AI691" i="1"/>
  <c r="AG691" i="1"/>
  <c r="AE691" i="1"/>
  <c r="AD691" i="1"/>
  <c r="AB691" i="1"/>
  <c r="AA691" i="1"/>
  <c r="Z691" i="1"/>
  <c r="X691" i="1"/>
  <c r="W691" i="1"/>
  <c r="V691" i="1"/>
  <c r="S691" i="1"/>
  <c r="R691" i="1"/>
  <c r="Q691" i="1"/>
  <c r="O691" i="1"/>
  <c r="M691" i="1"/>
  <c r="L691" i="1"/>
  <c r="K691" i="1"/>
  <c r="J691" i="1"/>
  <c r="I691" i="1"/>
  <c r="H691" i="1"/>
  <c r="G691" i="1"/>
  <c r="F691" i="1"/>
  <c r="E691" i="1"/>
  <c r="D691" i="1"/>
  <c r="AO690" i="1"/>
  <c r="AN690" i="1"/>
  <c r="AM690" i="1"/>
  <c r="AL690" i="1"/>
  <c r="AK690" i="1"/>
  <c r="AJ690" i="1"/>
  <c r="AI690" i="1"/>
  <c r="AG690" i="1"/>
  <c r="AE690" i="1"/>
  <c r="AD690" i="1"/>
  <c r="AB690" i="1"/>
  <c r="AA690" i="1"/>
  <c r="Z690" i="1"/>
  <c r="X690" i="1"/>
  <c r="W690" i="1"/>
  <c r="V690" i="1"/>
  <c r="S690" i="1"/>
  <c r="R690" i="1"/>
  <c r="Q690" i="1"/>
  <c r="O690" i="1"/>
  <c r="M690" i="1"/>
  <c r="L690" i="1"/>
  <c r="K690" i="1"/>
  <c r="J690" i="1"/>
  <c r="I690" i="1"/>
  <c r="H690" i="1"/>
  <c r="G690" i="1"/>
  <c r="F690" i="1"/>
  <c r="E690" i="1"/>
  <c r="D690" i="1"/>
  <c r="AO689" i="1"/>
  <c r="AN689" i="1"/>
  <c r="AM689" i="1"/>
  <c r="AL689" i="1"/>
  <c r="AK689" i="1"/>
  <c r="AJ689" i="1"/>
  <c r="AI689" i="1"/>
  <c r="AG689" i="1"/>
  <c r="AE689" i="1"/>
  <c r="AD689" i="1"/>
  <c r="AB689" i="1"/>
  <c r="AA689" i="1"/>
  <c r="Z689" i="1"/>
  <c r="X689" i="1"/>
  <c r="W689" i="1"/>
  <c r="V689" i="1"/>
  <c r="S689" i="1"/>
  <c r="R689" i="1"/>
  <c r="Q689" i="1"/>
  <c r="O689" i="1"/>
  <c r="M689" i="1"/>
  <c r="L689" i="1"/>
  <c r="K689" i="1"/>
  <c r="J689" i="1"/>
  <c r="I689" i="1"/>
  <c r="H689" i="1"/>
  <c r="G689" i="1"/>
  <c r="F689" i="1"/>
  <c r="E689" i="1"/>
  <c r="D689" i="1"/>
  <c r="AO688" i="1"/>
  <c r="AN688" i="1"/>
  <c r="AM688" i="1"/>
  <c r="AL688" i="1"/>
  <c r="AK688" i="1"/>
  <c r="AJ688" i="1"/>
  <c r="AI688" i="1"/>
  <c r="AG688" i="1"/>
  <c r="AE688" i="1"/>
  <c r="AD688" i="1"/>
  <c r="AB688" i="1"/>
  <c r="AA688" i="1"/>
  <c r="Z688" i="1"/>
  <c r="X688" i="1"/>
  <c r="W688" i="1"/>
  <c r="V688" i="1"/>
  <c r="S688" i="1"/>
  <c r="R688" i="1"/>
  <c r="Q688" i="1"/>
  <c r="O688" i="1"/>
  <c r="M688" i="1"/>
  <c r="L688" i="1"/>
  <c r="K688" i="1"/>
  <c r="J688" i="1"/>
  <c r="I688" i="1"/>
  <c r="H688" i="1"/>
  <c r="G688" i="1"/>
  <c r="F688" i="1"/>
  <c r="E688" i="1"/>
  <c r="D688" i="1"/>
  <c r="AO687" i="1"/>
  <c r="AN687" i="1"/>
  <c r="AM687" i="1"/>
  <c r="AL687" i="1"/>
  <c r="AK687" i="1"/>
  <c r="AJ687" i="1"/>
  <c r="AI687" i="1"/>
  <c r="AG687" i="1"/>
  <c r="AE687" i="1"/>
  <c r="AD687" i="1"/>
  <c r="AB687" i="1"/>
  <c r="AA687" i="1"/>
  <c r="Z687" i="1"/>
  <c r="X687" i="1"/>
  <c r="W687" i="1"/>
  <c r="V687" i="1"/>
  <c r="S687" i="1"/>
  <c r="R687" i="1"/>
  <c r="Q687" i="1"/>
  <c r="O687" i="1"/>
  <c r="M687" i="1"/>
  <c r="L687" i="1"/>
  <c r="K687" i="1"/>
  <c r="J687" i="1"/>
  <c r="I687" i="1"/>
  <c r="H687" i="1"/>
  <c r="G687" i="1"/>
  <c r="F687" i="1"/>
  <c r="E687" i="1"/>
  <c r="D687" i="1"/>
  <c r="AO686" i="1"/>
  <c r="AN686" i="1"/>
  <c r="AM686" i="1"/>
  <c r="AL686" i="1"/>
  <c r="AK686" i="1"/>
  <c r="AJ686" i="1"/>
  <c r="AI686" i="1"/>
  <c r="AG686" i="1"/>
  <c r="AE686" i="1"/>
  <c r="AD686" i="1"/>
  <c r="AB686" i="1"/>
  <c r="AA686" i="1"/>
  <c r="Z686" i="1"/>
  <c r="X686" i="1"/>
  <c r="W686" i="1"/>
  <c r="V686" i="1"/>
  <c r="S686" i="1"/>
  <c r="R686" i="1"/>
  <c r="Q686" i="1"/>
  <c r="O686" i="1"/>
  <c r="M686" i="1"/>
  <c r="L686" i="1"/>
  <c r="K686" i="1"/>
  <c r="J686" i="1"/>
  <c r="I686" i="1"/>
  <c r="H686" i="1"/>
  <c r="G686" i="1"/>
  <c r="F686" i="1"/>
  <c r="E686" i="1"/>
  <c r="D686" i="1"/>
  <c r="AO685" i="1"/>
  <c r="AN685" i="1"/>
  <c r="AM685" i="1"/>
  <c r="AL685" i="1"/>
  <c r="AK685" i="1"/>
  <c r="AJ685" i="1"/>
  <c r="AI685" i="1"/>
  <c r="AG685" i="1"/>
  <c r="AE685" i="1"/>
  <c r="AD685" i="1"/>
  <c r="AB685" i="1"/>
  <c r="AA685" i="1"/>
  <c r="Z685" i="1"/>
  <c r="X685" i="1"/>
  <c r="W685" i="1"/>
  <c r="V685" i="1"/>
  <c r="S685" i="1"/>
  <c r="R685" i="1"/>
  <c r="Q685" i="1"/>
  <c r="O685" i="1"/>
  <c r="M685" i="1"/>
  <c r="L685" i="1"/>
  <c r="K685" i="1"/>
  <c r="J685" i="1"/>
  <c r="I685" i="1"/>
  <c r="H685" i="1"/>
  <c r="G685" i="1"/>
  <c r="F685" i="1"/>
  <c r="E685" i="1"/>
  <c r="D685" i="1"/>
  <c r="AO684" i="1"/>
  <c r="AN684" i="1"/>
  <c r="AM684" i="1"/>
  <c r="AL684" i="1"/>
  <c r="AK684" i="1"/>
  <c r="AJ684" i="1"/>
  <c r="AI684" i="1"/>
  <c r="AG684" i="1"/>
  <c r="AE684" i="1"/>
  <c r="AD684" i="1"/>
  <c r="AB684" i="1"/>
  <c r="AA684" i="1"/>
  <c r="Z684" i="1"/>
  <c r="X684" i="1"/>
  <c r="W684" i="1"/>
  <c r="V684" i="1"/>
  <c r="S684" i="1"/>
  <c r="R684" i="1"/>
  <c r="Q684" i="1"/>
  <c r="O684" i="1"/>
  <c r="M684" i="1"/>
  <c r="L684" i="1"/>
  <c r="K684" i="1"/>
  <c r="J684" i="1"/>
  <c r="I684" i="1"/>
  <c r="H684" i="1"/>
  <c r="G684" i="1"/>
  <c r="F684" i="1"/>
  <c r="E684" i="1"/>
  <c r="D684" i="1"/>
  <c r="AO683" i="1"/>
  <c r="AN683" i="1"/>
  <c r="AM683" i="1"/>
  <c r="AL683" i="1"/>
  <c r="AK683" i="1"/>
  <c r="AJ683" i="1"/>
  <c r="AI683" i="1"/>
  <c r="AG683" i="1"/>
  <c r="AE683" i="1"/>
  <c r="AD683" i="1"/>
  <c r="AB683" i="1"/>
  <c r="AA683" i="1"/>
  <c r="Z683" i="1"/>
  <c r="X683" i="1"/>
  <c r="W683" i="1"/>
  <c r="V683" i="1"/>
  <c r="S683" i="1"/>
  <c r="R683" i="1"/>
  <c r="Q683" i="1"/>
  <c r="O683" i="1"/>
  <c r="M683" i="1"/>
  <c r="L683" i="1"/>
  <c r="K683" i="1"/>
  <c r="J683" i="1"/>
  <c r="I683" i="1"/>
  <c r="H683" i="1"/>
  <c r="G683" i="1"/>
  <c r="F683" i="1"/>
  <c r="E683" i="1"/>
  <c r="D683" i="1"/>
  <c r="AO682" i="1"/>
  <c r="AN682" i="1"/>
  <c r="AM682" i="1"/>
  <c r="AL682" i="1"/>
  <c r="AK682" i="1"/>
  <c r="AJ682" i="1"/>
  <c r="AI682" i="1"/>
  <c r="AG682" i="1"/>
  <c r="AE682" i="1"/>
  <c r="AD682" i="1"/>
  <c r="AB682" i="1"/>
  <c r="AA682" i="1"/>
  <c r="Z682" i="1"/>
  <c r="X682" i="1"/>
  <c r="W682" i="1"/>
  <c r="V682" i="1"/>
  <c r="S682" i="1"/>
  <c r="R682" i="1"/>
  <c r="Q682" i="1"/>
  <c r="O682" i="1"/>
  <c r="M682" i="1"/>
  <c r="L682" i="1"/>
  <c r="K682" i="1"/>
  <c r="J682" i="1"/>
  <c r="I682" i="1"/>
  <c r="H682" i="1"/>
  <c r="G682" i="1"/>
  <c r="F682" i="1"/>
  <c r="E682" i="1"/>
  <c r="D682" i="1"/>
  <c r="AO681" i="1"/>
  <c r="AN681" i="1"/>
  <c r="AM681" i="1"/>
  <c r="AL681" i="1"/>
  <c r="AK681" i="1"/>
  <c r="AJ681" i="1"/>
  <c r="AI681" i="1"/>
  <c r="AG681" i="1"/>
  <c r="AE681" i="1"/>
  <c r="AD681" i="1"/>
  <c r="AB681" i="1"/>
  <c r="AA681" i="1"/>
  <c r="Z681" i="1"/>
  <c r="X681" i="1"/>
  <c r="W681" i="1"/>
  <c r="V681" i="1"/>
  <c r="S681" i="1"/>
  <c r="R681" i="1"/>
  <c r="Q681" i="1"/>
  <c r="O681" i="1"/>
  <c r="M681" i="1"/>
  <c r="L681" i="1"/>
  <c r="K681" i="1"/>
  <c r="J681" i="1"/>
  <c r="I681" i="1"/>
  <c r="H681" i="1"/>
  <c r="G681" i="1"/>
  <c r="F681" i="1"/>
  <c r="E681" i="1"/>
  <c r="D681" i="1"/>
  <c r="AO680" i="1"/>
  <c r="AN680" i="1"/>
  <c r="AM680" i="1"/>
  <c r="AL680" i="1"/>
  <c r="AK680" i="1"/>
  <c r="AJ680" i="1"/>
  <c r="AI680" i="1"/>
  <c r="AG680" i="1"/>
  <c r="AE680" i="1"/>
  <c r="AD680" i="1"/>
  <c r="AB680" i="1"/>
  <c r="AA680" i="1"/>
  <c r="Z680" i="1"/>
  <c r="X680" i="1"/>
  <c r="W680" i="1"/>
  <c r="V680" i="1"/>
  <c r="S680" i="1"/>
  <c r="R680" i="1"/>
  <c r="Q680" i="1"/>
  <c r="O680" i="1"/>
  <c r="M680" i="1"/>
  <c r="L680" i="1"/>
  <c r="K680" i="1"/>
  <c r="J680" i="1"/>
  <c r="I680" i="1"/>
  <c r="H680" i="1"/>
  <c r="G680" i="1"/>
  <c r="F680" i="1"/>
  <c r="E680" i="1"/>
  <c r="D680" i="1"/>
  <c r="AO679" i="1"/>
  <c r="AN679" i="1"/>
  <c r="AM679" i="1"/>
  <c r="AL679" i="1"/>
  <c r="AK679" i="1"/>
  <c r="AJ679" i="1"/>
  <c r="AI679" i="1"/>
  <c r="AG679" i="1"/>
  <c r="AE679" i="1"/>
  <c r="AD679" i="1"/>
  <c r="AB679" i="1"/>
  <c r="AA679" i="1"/>
  <c r="Z679" i="1"/>
  <c r="X679" i="1"/>
  <c r="W679" i="1"/>
  <c r="V679" i="1"/>
  <c r="S679" i="1"/>
  <c r="R679" i="1"/>
  <c r="Q679" i="1"/>
  <c r="O679" i="1"/>
  <c r="M679" i="1"/>
  <c r="L679" i="1"/>
  <c r="K679" i="1"/>
  <c r="J679" i="1"/>
  <c r="I679" i="1"/>
  <c r="H679" i="1"/>
  <c r="G679" i="1"/>
  <c r="F679" i="1"/>
  <c r="E679" i="1"/>
  <c r="D679" i="1"/>
  <c r="AO678" i="1"/>
  <c r="AN678" i="1"/>
  <c r="AM678" i="1"/>
  <c r="AL678" i="1"/>
  <c r="AK678" i="1"/>
  <c r="AJ678" i="1"/>
  <c r="AI678" i="1"/>
  <c r="AG678" i="1"/>
  <c r="AE678" i="1"/>
  <c r="AD678" i="1"/>
  <c r="AB678" i="1"/>
  <c r="AA678" i="1"/>
  <c r="Z678" i="1"/>
  <c r="X678" i="1"/>
  <c r="W678" i="1"/>
  <c r="V678" i="1"/>
  <c r="S678" i="1"/>
  <c r="R678" i="1"/>
  <c r="Q678" i="1"/>
  <c r="O678" i="1"/>
  <c r="M678" i="1"/>
  <c r="L678" i="1"/>
  <c r="K678" i="1"/>
  <c r="J678" i="1"/>
  <c r="I678" i="1"/>
  <c r="H678" i="1"/>
  <c r="G678" i="1"/>
  <c r="F678" i="1"/>
  <c r="E678" i="1"/>
  <c r="D678" i="1"/>
  <c r="AO677" i="1"/>
  <c r="AN677" i="1"/>
  <c r="AM677" i="1"/>
  <c r="AL677" i="1"/>
  <c r="AK677" i="1"/>
  <c r="AJ677" i="1"/>
  <c r="AI677" i="1"/>
  <c r="AG677" i="1"/>
  <c r="AE677" i="1"/>
  <c r="AD677" i="1"/>
  <c r="AB677" i="1"/>
  <c r="AA677" i="1"/>
  <c r="Z677" i="1"/>
  <c r="X677" i="1"/>
  <c r="W677" i="1"/>
  <c r="V677" i="1"/>
  <c r="S677" i="1"/>
  <c r="R677" i="1"/>
  <c r="Q677" i="1"/>
  <c r="O677" i="1"/>
  <c r="M677" i="1"/>
  <c r="L677" i="1"/>
  <c r="K677" i="1"/>
  <c r="J677" i="1"/>
  <c r="I677" i="1"/>
  <c r="H677" i="1"/>
  <c r="G677" i="1"/>
  <c r="F677" i="1"/>
  <c r="E677" i="1"/>
  <c r="D677" i="1"/>
  <c r="AO676" i="1"/>
  <c r="AN676" i="1"/>
  <c r="AM676" i="1"/>
  <c r="AL676" i="1"/>
  <c r="AK676" i="1"/>
  <c r="AJ676" i="1"/>
  <c r="AI676" i="1"/>
  <c r="AG676" i="1"/>
  <c r="AE676" i="1"/>
  <c r="AD676" i="1"/>
  <c r="AB676" i="1"/>
  <c r="AA676" i="1"/>
  <c r="Z676" i="1"/>
  <c r="X676" i="1"/>
  <c r="W676" i="1"/>
  <c r="V676" i="1"/>
  <c r="S676" i="1"/>
  <c r="R676" i="1"/>
  <c r="Q676" i="1"/>
  <c r="O676" i="1"/>
  <c r="M676" i="1"/>
  <c r="L676" i="1"/>
  <c r="K676" i="1"/>
  <c r="J676" i="1"/>
  <c r="I676" i="1"/>
  <c r="H676" i="1"/>
  <c r="G676" i="1"/>
  <c r="F676" i="1"/>
  <c r="E676" i="1"/>
  <c r="D676" i="1"/>
  <c r="AO675" i="1"/>
  <c r="AN675" i="1"/>
  <c r="AM675" i="1"/>
  <c r="AL675" i="1"/>
  <c r="AK675" i="1"/>
  <c r="AJ675" i="1"/>
  <c r="AI675" i="1"/>
  <c r="AG675" i="1"/>
  <c r="AE675" i="1"/>
  <c r="AD675" i="1"/>
  <c r="AB675" i="1"/>
  <c r="AA675" i="1"/>
  <c r="Z675" i="1"/>
  <c r="X675" i="1"/>
  <c r="W675" i="1"/>
  <c r="V675" i="1"/>
  <c r="S675" i="1"/>
  <c r="R675" i="1"/>
  <c r="Q675" i="1"/>
  <c r="O675" i="1"/>
  <c r="M675" i="1"/>
  <c r="L675" i="1"/>
  <c r="K675" i="1"/>
  <c r="J675" i="1"/>
  <c r="I675" i="1"/>
  <c r="H675" i="1"/>
  <c r="G675" i="1"/>
  <c r="F675" i="1"/>
  <c r="E675" i="1"/>
  <c r="D675" i="1"/>
  <c r="AO674" i="1"/>
  <c r="AN674" i="1"/>
  <c r="AM674" i="1"/>
  <c r="AL674" i="1"/>
  <c r="AK674" i="1"/>
  <c r="AJ674" i="1"/>
  <c r="AI674" i="1"/>
  <c r="AG674" i="1"/>
  <c r="AE674" i="1"/>
  <c r="AD674" i="1"/>
  <c r="AB674" i="1"/>
  <c r="AA674" i="1"/>
  <c r="Z674" i="1"/>
  <c r="X674" i="1"/>
  <c r="W674" i="1"/>
  <c r="V674" i="1"/>
  <c r="S674" i="1"/>
  <c r="R674" i="1"/>
  <c r="Q674" i="1"/>
  <c r="O674" i="1"/>
  <c r="M674" i="1"/>
  <c r="L674" i="1"/>
  <c r="K674" i="1"/>
  <c r="J674" i="1"/>
  <c r="I674" i="1"/>
  <c r="H674" i="1"/>
  <c r="G674" i="1"/>
  <c r="F674" i="1"/>
  <c r="E674" i="1"/>
  <c r="D674" i="1"/>
  <c r="AO673" i="1"/>
  <c r="AN673" i="1"/>
  <c r="AM673" i="1"/>
  <c r="AL673" i="1"/>
  <c r="AK673" i="1"/>
  <c r="AJ673" i="1"/>
  <c r="AI673" i="1"/>
  <c r="AG673" i="1"/>
  <c r="AE673" i="1"/>
  <c r="AD673" i="1"/>
  <c r="AB673" i="1"/>
  <c r="AA673" i="1"/>
  <c r="Z673" i="1"/>
  <c r="X673" i="1"/>
  <c r="W673" i="1"/>
  <c r="V673" i="1"/>
  <c r="S673" i="1"/>
  <c r="R673" i="1"/>
  <c r="Q673" i="1"/>
  <c r="O673" i="1"/>
  <c r="M673" i="1"/>
  <c r="L673" i="1"/>
  <c r="K673" i="1"/>
  <c r="J673" i="1"/>
  <c r="I673" i="1"/>
  <c r="H673" i="1"/>
  <c r="G673" i="1"/>
  <c r="F673" i="1"/>
  <c r="E673" i="1"/>
  <c r="D673" i="1"/>
  <c r="AO672" i="1"/>
  <c r="AN672" i="1"/>
  <c r="AM672" i="1"/>
  <c r="AL672" i="1"/>
  <c r="AK672" i="1"/>
  <c r="AJ672" i="1"/>
  <c r="AI672" i="1"/>
  <c r="AG672" i="1"/>
  <c r="AE672" i="1"/>
  <c r="AD672" i="1"/>
  <c r="AB672" i="1"/>
  <c r="AA672" i="1"/>
  <c r="Z672" i="1"/>
  <c r="X672" i="1"/>
  <c r="W672" i="1"/>
  <c r="V672" i="1"/>
  <c r="S672" i="1"/>
  <c r="R672" i="1"/>
  <c r="Q672" i="1"/>
  <c r="O672" i="1"/>
  <c r="M672" i="1"/>
  <c r="L672" i="1"/>
  <c r="K672" i="1"/>
  <c r="J672" i="1"/>
  <c r="I672" i="1"/>
  <c r="H672" i="1"/>
  <c r="G672" i="1"/>
  <c r="F672" i="1"/>
  <c r="E672" i="1"/>
  <c r="D672" i="1"/>
  <c r="AO671" i="1"/>
  <c r="AN671" i="1"/>
  <c r="AM671" i="1"/>
  <c r="AL671" i="1"/>
  <c r="AK671" i="1"/>
  <c r="AJ671" i="1"/>
  <c r="AI671" i="1"/>
  <c r="AG671" i="1"/>
  <c r="AE671" i="1"/>
  <c r="AD671" i="1"/>
  <c r="AB671" i="1"/>
  <c r="AA671" i="1"/>
  <c r="Z671" i="1"/>
  <c r="X671" i="1"/>
  <c r="W671" i="1"/>
  <c r="V671" i="1"/>
  <c r="S671" i="1"/>
  <c r="R671" i="1"/>
  <c r="Q671" i="1"/>
  <c r="O671" i="1"/>
  <c r="M671" i="1"/>
  <c r="L671" i="1"/>
  <c r="K671" i="1"/>
  <c r="J671" i="1"/>
  <c r="I671" i="1"/>
  <c r="H671" i="1"/>
  <c r="G671" i="1"/>
  <c r="F671" i="1"/>
  <c r="E671" i="1"/>
  <c r="D671" i="1"/>
  <c r="AO670" i="1"/>
  <c r="AN670" i="1"/>
  <c r="AM670" i="1"/>
  <c r="AL670" i="1"/>
  <c r="AK670" i="1"/>
  <c r="AJ670" i="1"/>
  <c r="AI670" i="1"/>
  <c r="AG670" i="1"/>
  <c r="AE670" i="1"/>
  <c r="AD670" i="1"/>
  <c r="AB670" i="1"/>
  <c r="AA670" i="1"/>
  <c r="Z670" i="1"/>
  <c r="X670" i="1"/>
  <c r="W670" i="1"/>
  <c r="V670" i="1"/>
  <c r="S670" i="1"/>
  <c r="R670" i="1"/>
  <c r="Q670" i="1"/>
  <c r="O670" i="1"/>
  <c r="M670" i="1"/>
  <c r="L670" i="1"/>
  <c r="K670" i="1"/>
  <c r="J670" i="1"/>
  <c r="I670" i="1"/>
  <c r="H670" i="1"/>
  <c r="G670" i="1"/>
  <c r="F670" i="1"/>
  <c r="E670" i="1"/>
  <c r="D670" i="1"/>
  <c r="AO669" i="1"/>
  <c r="AN669" i="1"/>
  <c r="AM669" i="1"/>
  <c r="AL669" i="1"/>
  <c r="AK669" i="1"/>
  <c r="AJ669" i="1"/>
  <c r="AI669" i="1"/>
  <c r="AG669" i="1"/>
  <c r="AE669" i="1"/>
  <c r="AD669" i="1"/>
  <c r="AB669" i="1"/>
  <c r="AA669" i="1"/>
  <c r="Z669" i="1"/>
  <c r="X669" i="1"/>
  <c r="W669" i="1"/>
  <c r="V669" i="1"/>
  <c r="S669" i="1"/>
  <c r="R669" i="1"/>
  <c r="Q669" i="1"/>
  <c r="O669" i="1"/>
  <c r="M669" i="1"/>
  <c r="L669" i="1"/>
  <c r="K669" i="1"/>
  <c r="J669" i="1"/>
  <c r="I669" i="1"/>
  <c r="H669" i="1"/>
  <c r="G669" i="1"/>
  <c r="F669" i="1"/>
  <c r="E669" i="1"/>
  <c r="D669" i="1"/>
  <c r="AO668" i="1"/>
  <c r="AN668" i="1"/>
  <c r="AM668" i="1"/>
  <c r="AL668" i="1"/>
  <c r="AK668" i="1"/>
  <c r="AJ668" i="1"/>
  <c r="AI668" i="1"/>
  <c r="AG668" i="1"/>
  <c r="AE668" i="1"/>
  <c r="AD668" i="1"/>
  <c r="AB668" i="1"/>
  <c r="AA668" i="1"/>
  <c r="Z668" i="1"/>
  <c r="X668" i="1"/>
  <c r="W668" i="1"/>
  <c r="V668" i="1"/>
  <c r="S668" i="1"/>
  <c r="R668" i="1"/>
  <c r="Q668" i="1"/>
  <c r="O668" i="1"/>
  <c r="M668" i="1"/>
  <c r="L668" i="1"/>
  <c r="K668" i="1"/>
  <c r="J668" i="1"/>
  <c r="I668" i="1"/>
  <c r="H668" i="1"/>
  <c r="G668" i="1"/>
  <c r="F668" i="1"/>
  <c r="E668" i="1"/>
  <c r="D668" i="1"/>
  <c r="AO667" i="1"/>
  <c r="AN667" i="1"/>
  <c r="AM667" i="1"/>
  <c r="AL667" i="1"/>
  <c r="AK667" i="1"/>
  <c r="AJ667" i="1"/>
  <c r="AI667" i="1"/>
  <c r="AG667" i="1"/>
  <c r="AE667" i="1"/>
  <c r="AD667" i="1"/>
  <c r="AB667" i="1"/>
  <c r="AA667" i="1"/>
  <c r="Z667" i="1"/>
  <c r="X667" i="1"/>
  <c r="W667" i="1"/>
  <c r="V667" i="1"/>
  <c r="S667" i="1"/>
  <c r="R667" i="1"/>
  <c r="Q667" i="1"/>
  <c r="O667" i="1"/>
  <c r="M667" i="1"/>
  <c r="L667" i="1"/>
  <c r="K667" i="1"/>
  <c r="J667" i="1"/>
  <c r="I667" i="1"/>
  <c r="H667" i="1"/>
  <c r="G667" i="1"/>
  <c r="F667" i="1"/>
  <c r="E667" i="1"/>
  <c r="D667" i="1"/>
  <c r="AO666" i="1"/>
  <c r="AN666" i="1"/>
  <c r="AM666" i="1"/>
  <c r="AL666" i="1"/>
  <c r="AK666" i="1"/>
  <c r="AJ666" i="1"/>
  <c r="AI666" i="1"/>
  <c r="AG666" i="1"/>
  <c r="AE666" i="1"/>
  <c r="AD666" i="1"/>
  <c r="AB666" i="1"/>
  <c r="AA666" i="1"/>
  <c r="Z666" i="1"/>
  <c r="X666" i="1"/>
  <c r="W666" i="1"/>
  <c r="V666" i="1"/>
  <c r="S666" i="1"/>
  <c r="R666" i="1"/>
  <c r="Q666" i="1"/>
  <c r="O666" i="1"/>
  <c r="M666" i="1"/>
  <c r="L666" i="1"/>
  <c r="K666" i="1"/>
  <c r="J666" i="1"/>
  <c r="I666" i="1"/>
  <c r="H666" i="1"/>
  <c r="G666" i="1"/>
  <c r="F666" i="1"/>
  <c r="E666" i="1"/>
  <c r="D666" i="1"/>
  <c r="AO665" i="1"/>
  <c r="AN665" i="1"/>
  <c r="AM665" i="1"/>
  <c r="AL665" i="1"/>
  <c r="AK665" i="1"/>
  <c r="AJ665" i="1"/>
  <c r="AI665" i="1"/>
  <c r="AG665" i="1"/>
  <c r="AE665" i="1"/>
  <c r="AD665" i="1"/>
  <c r="AB665" i="1"/>
  <c r="AA665" i="1"/>
  <c r="Z665" i="1"/>
  <c r="X665" i="1"/>
  <c r="W665" i="1"/>
  <c r="V665" i="1"/>
  <c r="S665" i="1"/>
  <c r="R665" i="1"/>
  <c r="Q665" i="1"/>
  <c r="O665" i="1"/>
  <c r="M665" i="1"/>
  <c r="L665" i="1"/>
  <c r="K665" i="1"/>
  <c r="J665" i="1"/>
  <c r="I665" i="1"/>
  <c r="H665" i="1"/>
  <c r="G665" i="1"/>
  <c r="F665" i="1"/>
  <c r="E665" i="1"/>
  <c r="D665" i="1"/>
  <c r="AO664" i="1"/>
  <c r="AN664" i="1"/>
  <c r="AM664" i="1"/>
  <c r="AL664" i="1"/>
  <c r="AK664" i="1"/>
  <c r="AJ664" i="1"/>
  <c r="AI664" i="1"/>
  <c r="AG664" i="1"/>
  <c r="AE664" i="1"/>
  <c r="AD664" i="1"/>
  <c r="AB664" i="1"/>
  <c r="AA664" i="1"/>
  <c r="Z664" i="1"/>
  <c r="X664" i="1"/>
  <c r="W664" i="1"/>
  <c r="V664" i="1"/>
  <c r="S664" i="1"/>
  <c r="R664" i="1"/>
  <c r="Q664" i="1"/>
  <c r="O664" i="1"/>
  <c r="M664" i="1"/>
  <c r="L664" i="1"/>
  <c r="K664" i="1"/>
  <c r="J664" i="1"/>
  <c r="I664" i="1"/>
  <c r="H664" i="1"/>
  <c r="G664" i="1"/>
  <c r="F664" i="1"/>
  <c r="E664" i="1"/>
  <c r="D664" i="1"/>
  <c r="AO663" i="1"/>
  <c r="AN663" i="1"/>
  <c r="AM663" i="1"/>
  <c r="AL663" i="1"/>
  <c r="AK663" i="1"/>
  <c r="AJ663" i="1"/>
  <c r="AI663" i="1"/>
  <c r="AG663" i="1"/>
  <c r="AE663" i="1"/>
  <c r="AD663" i="1"/>
  <c r="AB663" i="1"/>
  <c r="AA663" i="1"/>
  <c r="Z663" i="1"/>
  <c r="X663" i="1"/>
  <c r="W663" i="1"/>
  <c r="V663" i="1"/>
  <c r="S663" i="1"/>
  <c r="R663" i="1"/>
  <c r="Q663" i="1"/>
  <c r="O663" i="1"/>
  <c r="M663" i="1"/>
  <c r="L663" i="1"/>
  <c r="K663" i="1"/>
  <c r="J663" i="1"/>
  <c r="I663" i="1"/>
  <c r="H663" i="1"/>
  <c r="G663" i="1"/>
  <c r="F663" i="1"/>
  <c r="E663" i="1"/>
  <c r="D663" i="1"/>
  <c r="AO662" i="1"/>
  <c r="AN662" i="1"/>
  <c r="AM662" i="1"/>
  <c r="AL662" i="1"/>
  <c r="AK662" i="1"/>
  <c r="AJ662" i="1"/>
  <c r="AI662" i="1"/>
  <c r="AG662" i="1"/>
  <c r="AE662" i="1"/>
  <c r="AD662" i="1"/>
  <c r="AB662" i="1"/>
  <c r="AA662" i="1"/>
  <c r="Z662" i="1"/>
  <c r="X662" i="1"/>
  <c r="W662" i="1"/>
  <c r="V662" i="1"/>
  <c r="S662" i="1"/>
  <c r="R662" i="1"/>
  <c r="Q662" i="1"/>
  <c r="O662" i="1"/>
  <c r="M662" i="1"/>
  <c r="L662" i="1"/>
  <c r="K662" i="1"/>
  <c r="J662" i="1"/>
  <c r="I662" i="1"/>
  <c r="H662" i="1"/>
  <c r="G662" i="1"/>
  <c r="F662" i="1"/>
  <c r="E662" i="1"/>
  <c r="D662" i="1"/>
  <c r="AO661" i="1"/>
  <c r="AN661" i="1"/>
  <c r="AM661" i="1"/>
  <c r="AL661" i="1"/>
  <c r="AK661" i="1"/>
  <c r="AJ661" i="1"/>
  <c r="AI661" i="1"/>
  <c r="AG661" i="1"/>
  <c r="AE661" i="1"/>
  <c r="AD661" i="1"/>
  <c r="AB661" i="1"/>
  <c r="AA661" i="1"/>
  <c r="Z661" i="1"/>
  <c r="X661" i="1"/>
  <c r="W661" i="1"/>
  <c r="V661" i="1"/>
  <c r="S661" i="1"/>
  <c r="R661" i="1"/>
  <c r="Q661" i="1"/>
  <c r="O661" i="1"/>
  <c r="M661" i="1"/>
  <c r="L661" i="1"/>
  <c r="K661" i="1"/>
  <c r="J661" i="1"/>
  <c r="I661" i="1"/>
  <c r="H661" i="1"/>
  <c r="G661" i="1"/>
  <c r="F661" i="1"/>
  <c r="E661" i="1"/>
  <c r="D661" i="1"/>
  <c r="AO660" i="1"/>
  <c r="AN660" i="1"/>
  <c r="AM660" i="1"/>
  <c r="AL660" i="1"/>
  <c r="AK660" i="1"/>
  <c r="AJ660" i="1"/>
  <c r="AI660" i="1"/>
  <c r="AG660" i="1"/>
  <c r="AE660" i="1"/>
  <c r="AD660" i="1"/>
  <c r="AB660" i="1"/>
  <c r="AA660" i="1"/>
  <c r="Z660" i="1"/>
  <c r="X660" i="1"/>
  <c r="W660" i="1"/>
  <c r="V660" i="1"/>
  <c r="S660" i="1"/>
  <c r="R660" i="1"/>
  <c r="Q660" i="1"/>
  <c r="O660" i="1"/>
  <c r="M660" i="1"/>
  <c r="L660" i="1"/>
  <c r="K660" i="1"/>
  <c r="J660" i="1"/>
  <c r="I660" i="1"/>
  <c r="H660" i="1"/>
  <c r="G660" i="1"/>
  <c r="F660" i="1"/>
  <c r="E660" i="1"/>
  <c r="D660" i="1"/>
  <c r="AO659" i="1"/>
  <c r="AN659" i="1"/>
  <c r="AM659" i="1"/>
  <c r="AL659" i="1"/>
  <c r="AK659" i="1"/>
  <c r="AJ659" i="1"/>
  <c r="AI659" i="1"/>
  <c r="AG659" i="1"/>
  <c r="AE659" i="1"/>
  <c r="AD659" i="1"/>
  <c r="AB659" i="1"/>
  <c r="AA659" i="1"/>
  <c r="Z659" i="1"/>
  <c r="X659" i="1"/>
  <c r="W659" i="1"/>
  <c r="V659" i="1"/>
  <c r="S659" i="1"/>
  <c r="R659" i="1"/>
  <c r="Q659" i="1"/>
  <c r="O659" i="1"/>
  <c r="M659" i="1"/>
  <c r="L659" i="1"/>
  <c r="K659" i="1"/>
  <c r="J659" i="1"/>
  <c r="I659" i="1"/>
  <c r="H659" i="1"/>
  <c r="G659" i="1"/>
  <c r="F659" i="1"/>
  <c r="E659" i="1"/>
  <c r="D659" i="1"/>
  <c r="AO658" i="1"/>
  <c r="AN658" i="1"/>
  <c r="AM658" i="1"/>
  <c r="AL658" i="1"/>
  <c r="AK658" i="1"/>
  <c r="AJ658" i="1"/>
  <c r="AI658" i="1"/>
  <c r="AG658" i="1"/>
  <c r="AE658" i="1"/>
  <c r="AD658" i="1"/>
  <c r="AB658" i="1"/>
  <c r="AA658" i="1"/>
  <c r="Z658" i="1"/>
  <c r="X658" i="1"/>
  <c r="W658" i="1"/>
  <c r="V658" i="1"/>
  <c r="S658" i="1"/>
  <c r="R658" i="1"/>
  <c r="Q658" i="1"/>
  <c r="O658" i="1"/>
  <c r="M658" i="1"/>
  <c r="L658" i="1"/>
  <c r="K658" i="1"/>
  <c r="J658" i="1"/>
  <c r="I658" i="1"/>
  <c r="H658" i="1"/>
  <c r="G658" i="1"/>
  <c r="F658" i="1"/>
  <c r="E658" i="1"/>
  <c r="D658" i="1"/>
  <c r="AO657" i="1"/>
  <c r="AN657" i="1"/>
  <c r="AM657" i="1"/>
  <c r="AL657" i="1"/>
  <c r="AK657" i="1"/>
  <c r="AJ657" i="1"/>
  <c r="AI657" i="1"/>
  <c r="AG657" i="1"/>
  <c r="AE657" i="1"/>
  <c r="AD657" i="1"/>
  <c r="AB657" i="1"/>
  <c r="AA657" i="1"/>
  <c r="Z657" i="1"/>
  <c r="X657" i="1"/>
  <c r="W657" i="1"/>
  <c r="V657" i="1"/>
  <c r="S657" i="1"/>
  <c r="R657" i="1"/>
  <c r="Q657" i="1"/>
  <c r="O657" i="1"/>
  <c r="M657" i="1"/>
  <c r="L657" i="1"/>
  <c r="K657" i="1"/>
  <c r="J657" i="1"/>
  <c r="I657" i="1"/>
  <c r="H657" i="1"/>
  <c r="G657" i="1"/>
  <c r="F657" i="1"/>
  <c r="E657" i="1"/>
  <c r="D657" i="1"/>
  <c r="AO656" i="1"/>
  <c r="AN656" i="1"/>
  <c r="AM656" i="1"/>
  <c r="AL656" i="1"/>
  <c r="AK656" i="1"/>
  <c r="AJ656" i="1"/>
  <c r="AI656" i="1"/>
  <c r="AG656" i="1"/>
  <c r="AE656" i="1"/>
  <c r="AD656" i="1"/>
  <c r="AB656" i="1"/>
  <c r="AA656" i="1"/>
  <c r="Z656" i="1"/>
  <c r="X656" i="1"/>
  <c r="W656" i="1"/>
  <c r="V656" i="1"/>
  <c r="S656" i="1"/>
  <c r="R656" i="1"/>
  <c r="Q656" i="1"/>
  <c r="O656" i="1"/>
  <c r="M656" i="1"/>
  <c r="L656" i="1"/>
  <c r="K656" i="1"/>
  <c r="J656" i="1"/>
  <c r="I656" i="1"/>
  <c r="H656" i="1"/>
  <c r="G656" i="1"/>
  <c r="F656" i="1"/>
  <c r="E656" i="1"/>
  <c r="D656" i="1"/>
  <c r="AO655" i="1"/>
  <c r="AN655" i="1"/>
  <c r="AM655" i="1"/>
  <c r="AL655" i="1"/>
  <c r="AK655" i="1"/>
  <c r="AJ655" i="1"/>
  <c r="AI655" i="1"/>
  <c r="AG655" i="1"/>
  <c r="AE655" i="1"/>
  <c r="AD655" i="1"/>
  <c r="AB655" i="1"/>
  <c r="AA655" i="1"/>
  <c r="Z655" i="1"/>
  <c r="X655" i="1"/>
  <c r="W655" i="1"/>
  <c r="V655" i="1"/>
  <c r="S655" i="1"/>
  <c r="R655" i="1"/>
  <c r="Q655" i="1"/>
  <c r="O655" i="1"/>
  <c r="M655" i="1"/>
  <c r="L655" i="1"/>
  <c r="K655" i="1"/>
  <c r="J655" i="1"/>
  <c r="I655" i="1"/>
  <c r="H655" i="1"/>
  <c r="G655" i="1"/>
  <c r="F655" i="1"/>
  <c r="E655" i="1"/>
  <c r="D655" i="1"/>
  <c r="AO654" i="1"/>
  <c r="AN654" i="1"/>
  <c r="AM654" i="1"/>
  <c r="AL654" i="1"/>
  <c r="AK654" i="1"/>
  <c r="AJ654" i="1"/>
  <c r="AI654" i="1"/>
  <c r="AG654" i="1"/>
  <c r="AE654" i="1"/>
  <c r="AD654" i="1"/>
  <c r="AB654" i="1"/>
  <c r="AA654" i="1"/>
  <c r="Z654" i="1"/>
  <c r="X654" i="1"/>
  <c r="W654" i="1"/>
  <c r="V654" i="1"/>
  <c r="S654" i="1"/>
  <c r="R654" i="1"/>
  <c r="Q654" i="1"/>
  <c r="O654" i="1"/>
  <c r="M654" i="1"/>
  <c r="L654" i="1"/>
  <c r="K654" i="1"/>
  <c r="J654" i="1"/>
  <c r="I654" i="1"/>
  <c r="H654" i="1"/>
  <c r="G654" i="1"/>
  <c r="F654" i="1"/>
  <c r="E654" i="1"/>
  <c r="D654" i="1"/>
  <c r="AO653" i="1"/>
  <c r="AN653" i="1"/>
  <c r="AM653" i="1"/>
  <c r="AL653" i="1"/>
  <c r="AK653" i="1"/>
  <c r="AJ653" i="1"/>
  <c r="AI653" i="1"/>
  <c r="AG653" i="1"/>
  <c r="AE653" i="1"/>
  <c r="AD653" i="1"/>
  <c r="AB653" i="1"/>
  <c r="AA653" i="1"/>
  <c r="Z653" i="1"/>
  <c r="X653" i="1"/>
  <c r="W653" i="1"/>
  <c r="V653" i="1"/>
  <c r="S653" i="1"/>
  <c r="R653" i="1"/>
  <c r="Q653" i="1"/>
  <c r="O653" i="1"/>
  <c r="M653" i="1"/>
  <c r="L653" i="1"/>
  <c r="K653" i="1"/>
  <c r="J653" i="1"/>
  <c r="I653" i="1"/>
  <c r="H653" i="1"/>
  <c r="G653" i="1"/>
  <c r="F653" i="1"/>
  <c r="E653" i="1"/>
  <c r="D653" i="1"/>
  <c r="AO652" i="1"/>
  <c r="AN652" i="1"/>
  <c r="AM652" i="1"/>
  <c r="AL652" i="1"/>
  <c r="AK652" i="1"/>
  <c r="AJ652" i="1"/>
  <c r="AI652" i="1"/>
  <c r="AG652" i="1"/>
  <c r="AE652" i="1"/>
  <c r="AD652" i="1"/>
  <c r="AB652" i="1"/>
  <c r="AA652" i="1"/>
  <c r="Z652" i="1"/>
  <c r="X652" i="1"/>
  <c r="W652" i="1"/>
  <c r="V652" i="1"/>
  <c r="S652" i="1"/>
  <c r="R652" i="1"/>
  <c r="Q652" i="1"/>
  <c r="O652" i="1"/>
  <c r="M652" i="1"/>
  <c r="L652" i="1"/>
  <c r="K652" i="1"/>
  <c r="J652" i="1"/>
  <c r="I652" i="1"/>
  <c r="H652" i="1"/>
  <c r="G652" i="1"/>
  <c r="F652" i="1"/>
  <c r="E652" i="1"/>
  <c r="D652" i="1"/>
  <c r="AO651" i="1"/>
  <c r="AN651" i="1"/>
  <c r="AM651" i="1"/>
  <c r="AL651" i="1"/>
  <c r="AK651" i="1"/>
  <c r="AJ651" i="1"/>
  <c r="AI651" i="1"/>
  <c r="AG651" i="1"/>
  <c r="AE651" i="1"/>
  <c r="AD651" i="1"/>
  <c r="AB651" i="1"/>
  <c r="AA651" i="1"/>
  <c r="Z651" i="1"/>
  <c r="X651" i="1"/>
  <c r="W651" i="1"/>
  <c r="V651" i="1"/>
  <c r="S651" i="1"/>
  <c r="R651" i="1"/>
  <c r="Q651" i="1"/>
  <c r="O651" i="1"/>
  <c r="M651" i="1"/>
  <c r="L651" i="1"/>
  <c r="K651" i="1"/>
  <c r="J651" i="1"/>
  <c r="I651" i="1"/>
  <c r="H651" i="1"/>
  <c r="G651" i="1"/>
  <c r="F651" i="1"/>
  <c r="E651" i="1"/>
  <c r="D651" i="1"/>
  <c r="AO650" i="1"/>
  <c r="AN650" i="1"/>
  <c r="AM650" i="1"/>
  <c r="AL650" i="1"/>
  <c r="AK650" i="1"/>
  <c r="AJ650" i="1"/>
  <c r="AI650" i="1"/>
  <c r="AG650" i="1"/>
  <c r="AE650" i="1"/>
  <c r="AD650" i="1"/>
  <c r="AB650" i="1"/>
  <c r="AA650" i="1"/>
  <c r="Z650" i="1"/>
  <c r="X650" i="1"/>
  <c r="W650" i="1"/>
  <c r="V650" i="1"/>
  <c r="S650" i="1"/>
  <c r="R650" i="1"/>
  <c r="Q650" i="1"/>
  <c r="O650" i="1"/>
  <c r="M650" i="1"/>
  <c r="L650" i="1"/>
  <c r="K650" i="1"/>
  <c r="J650" i="1"/>
  <c r="I650" i="1"/>
  <c r="H650" i="1"/>
  <c r="G650" i="1"/>
  <c r="F650" i="1"/>
  <c r="E650" i="1"/>
  <c r="D650" i="1"/>
  <c r="AO649" i="1"/>
  <c r="AN649" i="1"/>
  <c r="AM649" i="1"/>
  <c r="AL649" i="1"/>
  <c r="AK649" i="1"/>
  <c r="AJ649" i="1"/>
  <c r="AI649" i="1"/>
  <c r="AG649" i="1"/>
  <c r="AE649" i="1"/>
  <c r="AD649" i="1"/>
  <c r="AB649" i="1"/>
  <c r="AA649" i="1"/>
  <c r="Z649" i="1"/>
  <c r="X649" i="1"/>
  <c r="W649" i="1"/>
  <c r="V649" i="1"/>
  <c r="S649" i="1"/>
  <c r="R649" i="1"/>
  <c r="Q649" i="1"/>
  <c r="O649" i="1"/>
  <c r="M649" i="1"/>
  <c r="L649" i="1"/>
  <c r="K649" i="1"/>
  <c r="J649" i="1"/>
  <c r="I649" i="1"/>
  <c r="H649" i="1"/>
  <c r="G649" i="1"/>
  <c r="F649" i="1"/>
  <c r="E649" i="1"/>
  <c r="D649" i="1"/>
  <c r="AO648" i="1"/>
  <c r="AN648" i="1"/>
  <c r="AM648" i="1"/>
  <c r="AL648" i="1"/>
  <c r="AK648" i="1"/>
  <c r="AJ648" i="1"/>
  <c r="AI648" i="1"/>
  <c r="AG648" i="1"/>
  <c r="AE648" i="1"/>
  <c r="AD648" i="1"/>
  <c r="AB648" i="1"/>
  <c r="AA648" i="1"/>
  <c r="Z648" i="1"/>
  <c r="X648" i="1"/>
  <c r="W648" i="1"/>
  <c r="V648" i="1"/>
  <c r="S648" i="1"/>
  <c r="R648" i="1"/>
  <c r="Q648" i="1"/>
  <c r="O648" i="1"/>
  <c r="M648" i="1"/>
  <c r="L648" i="1"/>
  <c r="K648" i="1"/>
  <c r="J648" i="1"/>
  <c r="I648" i="1"/>
  <c r="H648" i="1"/>
  <c r="G648" i="1"/>
  <c r="F648" i="1"/>
  <c r="E648" i="1"/>
  <c r="D648" i="1"/>
  <c r="AO647" i="1"/>
  <c r="AN647" i="1"/>
  <c r="AM647" i="1"/>
  <c r="AL647" i="1"/>
  <c r="AK647" i="1"/>
  <c r="AJ647" i="1"/>
  <c r="AI647" i="1"/>
  <c r="AG647" i="1"/>
  <c r="AE647" i="1"/>
  <c r="AD647" i="1"/>
  <c r="AB647" i="1"/>
  <c r="AA647" i="1"/>
  <c r="Z647" i="1"/>
  <c r="X647" i="1"/>
  <c r="W647" i="1"/>
  <c r="V647" i="1"/>
  <c r="S647" i="1"/>
  <c r="R647" i="1"/>
  <c r="Q647" i="1"/>
  <c r="O647" i="1"/>
  <c r="M647" i="1"/>
  <c r="L647" i="1"/>
  <c r="K647" i="1"/>
  <c r="J647" i="1"/>
  <c r="I647" i="1"/>
  <c r="H647" i="1"/>
  <c r="G647" i="1"/>
  <c r="F647" i="1"/>
  <c r="E647" i="1"/>
  <c r="D647" i="1"/>
  <c r="AO646" i="1"/>
  <c r="AN646" i="1"/>
  <c r="AM646" i="1"/>
  <c r="AL646" i="1"/>
  <c r="AK646" i="1"/>
  <c r="AJ646" i="1"/>
  <c r="AI646" i="1"/>
  <c r="AG646" i="1"/>
  <c r="AE646" i="1"/>
  <c r="AD646" i="1"/>
  <c r="AB646" i="1"/>
  <c r="AA646" i="1"/>
  <c r="Z646" i="1"/>
  <c r="X646" i="1"/>
  <c r="W646" i="1"/>
  <c r="V646" i="1"/>
  <c r="S646" i="1"/>
  <c r="R646" i="1"/>
  <c r="Q646" i="1"/>
  <c r="O646" i="1"/>
  <c r="M646" i="1"/>
  <c r="L646" i="1"/>
  <c r="K646" i="1"/>
  <c r="J646" i="1"/>
  <c r="I646" i="1"/>
  <c r="H646" i="1"/>
  <c r="G646" i="1"/>
  <c r="F646" i="1"/>
  <c r="E646" i="1"/>
  <c r="D646" i="1"/>
  <c r="AO645" i="1"/>
  <c r="AN645" i="1"/>
  <c r="AM645" i="1"/>
  <c r="AL645" i="1"/>
  <c r="AK645" i="1"/>
  <c r="AJ645" i="1"/>
  <c r="AI645" i="1"/>
  <c r="AG645" i="1"/>
  <c r="AE645" i="1"/>
  <c r="AD645" i="1"/>
  <c r="AB645" i="1"/>
  <c r="AA645" i="1"/>
  <c r="Z645" i="1"/>
  <c r="X645" i="1"/>
  <c r="W645" i="1"/>
  <c r="V645" i="1"/>
  <c r="S645" i="1"/>
  <c r="R645" i="1"/>
  <c r="Q645" i="1"/>
  <c r="O645" i="1"/>
  <c r="M645" i="1"/>
  <c r="L645" i="1"/>
  <c r="K645" i="1"/>
  <c r="J645" i="1"/>
  <c r="I645" i="1"/>
  <c r="H645" i="1"/>
  <c r="G645" i="1"/>
  <c r="F645" i="1"/>
  <c r="E645" i="1"/>
  <c r="D645" i="1"/>
  <c r="AO644" i="1"/>
  <c r="AN644" i="1"/>
  <c r="AM644" i="1"/>
  <c r="AL644" i="1"/>
  <c r="AK644" i="1"/>
  <c r="AJ644" i="1"/>
  <c r="AI644" i="1"/>
  <c r="AG644" i="1"/>
  <c r="AE644" i="1"/>
  <c r="AD644" i="1"/>
  <c r="AB644" i="1"/>
  <c r="AA644" i="1"/>
  <c r="Z644" i="1"/>
  <c r="X644" i="1"/>
  <c r="W644" i="1"/>
  <c r="V644" i="1"/>
  <c r="S644" i="1"/>
  <c r="R644" i="1"/>
  <c r="Q644" i="1"/>
  <c r="O644" i="1"/>
  <c r="M644" i="1"/>
  <c r="L644" i="1"/>
  <c r="K644" i="1"/>
  <c r="J644" i="1"/>
  <c r="I644" i="1"/>
  <c r="H644" i="1"/>
  <c r="G644" i="1"/>
  <c r="F644" i="1"/>
  <c r="E644" i="1"/>
  <c r="D644" i="1"/>
  <c r="AO643" i="1"/>
  <c r="AN643" i="1"/>
  <c r="AM643" i="1"/>
  <c r="AL643" i="1"/>
  <c r="AK643" i="1"/>
  <c r="AJ643" i="1"/>
  <c r="AI643" i="1"/>
  <c r="AG643" i="1"/>
  <c r="AE643" i="1"/>
  <c r="AD643" i="1"/>
  <c r="AB643" i="1"/>
  <c r="AA643" i="1"/>
  <c r="Z643" i="1"/>
  <c r="X643" i="1"/>
  <c r="W643" i="1"/>
  <c r="V643" i="1"/>
  <c r="S643" i="1"/>
  <c r="R643" i="1"/>
  <c r="Q643" i="1"/>
  <c r="O643" i="1"/>
  <c r="M643" i="1"/>
  <c r="L643" i="1"/>
  <c r="K643" i="1"/>
  <c r="J643" i="1"/>
  <c r="I643" i="1"/>
  <c r="H643" i="1"/>
  <c r="G643" i="1"/>
  <c r="F643" i="1"/>
  <c r="E643" i="1"/>
  <c r="D643" i="1"/>
  <c r="AO642" i="1"/>
  <c r="AN642" i="1"/>
  <c r="AM642" i="1"/>
  <c r="AL642" i="1"/>
  <c r="AK642" i="1"/>
  <c r="AJ642" i="1"/>
  <c r="AI642" i="1"/>
  <c r="AG642" i="1"/>
  <c r="AE642" i="1"/>
  <c r="AD642" i="1"/>
  <c r="AB642" i="1"/>
  <c r="AA642" i="1"/>
  <c r="Z642" i="1"/>
  <c r="X642" i="1"/>
  <c r="W642" i="1"/>
  <c r="V642" i="1"/>
  <c r="S642" i="1"/>
  <c r="R642" i="1"/>
  <c r="Q642" i="1"/>
  <c r="O642" i="1"/>
  <c r="M642" i="1"/>
  <c r="L642" i="1"/>
  <c r="K642" i="1"/>
  <c r="J642" i="1"/>
  <c r="I642" i="1"/>
  <c r="H642" i="1"/>
  <c r="G642" i="1"/>
  <c r="F642" i="1"/>
  <c r="E642" i="1"/>
  <c r="D642" i="1"/>
  <c r="AO641" i="1"/>
  <c r="AN641" i="1"/>
  <c r="AM641" i="1"/>
  <c r="AL641" i="1"/>
  <c r="AK641" i="1"/>
  <c r="AJ641" i="1"/>
  <c r="AI641" i="1"/>
  <c r="AG641" i="1"/>
  <c r="AE641" i="1"/>
  <c r="AD641" i="1"/>
  <c r="AB641" i="1"/>
  <c r="AA641" i="1"/>
  <c r="Z641" i="1"/>
  <c r="X641" i="1"/>
  <c r="W641" i="1"/>
  <c r="V641" i="1"/>
  <c r="S641" i="1"/>
  <c r="R641" i="1"/>
  <c r="Q641" i="1"/>
  <c r="O641" i="1"/>
  <c r="M641" i="1"/>
  <c r="L641" i="1"/>
  <c r="K641" i="1"/>
  <c r="J641" i="1"/>
  <c r="I641" i="1"/>
  <c r="H641" i="1"/>
  <c r="G641" i="1"/>
  <c r="F641" i="1"/>
  <c r="E641" i="1"/>
  <c r="D641" i="1"/>
  <c r="AO640" i="1"/>
  <c r="AN640" i="1"/>
  <c r="AM640" i="1"/>
  <c r="AL640" i="1"/>
  <c r="AK640" i="1"/>
  <c r="AJ640" i="1"/>
  <c r="AI640" i="1"/>
  <c r="AG640" i="1"/>
  <c r="AE640" i="1"/>
  <c r="AD640" i="1"/>
  <c r="AB640" i="1"/>
  <c r="AA640" i="1"/>
  <c r="Z640" i="1"/>
  <c r="X640" i="1"/>
  <c r="W640" i="1"/>
  <c r="V640" i="1"/>
  <c r="S640" i="1"/>
  <c r="R640" i="1"/>
  <c r="Q640" i="1"/>
  <c r="O640" i="1"/>
  <c r="M640" i="1"/>
  <c r="L640" i="1"/>
  <c r="K640" i="1"/>
  <c r="J640" i="1"/>
  <c r="I640" i="1"/>
  <c r="H640" i="1"/>
  <c r="G640" i="1"/>
  <c r="F640" i="1"/>
  <c r="E640" i="1"/>
  <c r="D640" i="1"/>
  <c r="AO639" i="1"/>
  <c r="AN639" i="1"/>
  <c r="AM639" i="1"/>
  <c r="AL639" i="1"/>
  <c r="AK639" i="1"/>
  <c r="AJ639" i="1"/>
  <c r="AI639" i="1"/>
  <c r="AG639" i="1"/>
  <c r="AE639" i="1"/>
  <c r="AD639" i="1"/>
  <c r="AB639" i="1"/>
  <c r="AA639" i="1"/>
  <c r="Z639" i="1"/>
  <c r="X639" i="1"/>
  <c r="W639" i="1"/>
  <c r="V639" i="1"/>
  <c r="S639" i="1"/>
  <c r="R639" i="1"/>
  <c r="Q639" i="1"/>
  <c r="O639" i="1"/>
  <c r="M639" i="1"/>
  <c r="L639" i="1"/>
  <c r="K639" i="1"/>
  <c r="J639" i="1"/>
  <c r="I639" i="1"/>
  <c r="H639" i="1"/>
  <c r="G639" i="1"/>
  <c r="F639" i="1"/>
  <c r="E639" i="1"/>
  <c r="D639" i="1"/>
  <c r="AO638" i="1"/>
  <c r="AN638" i="1"/>
  <c r="AM638" i="1"/>
  <c r="AL638" i="1"/>
  <c r="AK638" i="1"/>
  <c r="AJ638" i="1"/>
  <c r="AI638" i="1"/>
  <c r="AG638" i="1"/>
  <c r="AE638" i="1"/>
  <c r="AD638" i="1"/>
  <c r="AB638" i="1"/>
  <c r="AA638" i="1"/>
  <c r="Z638" i="1"/>
  <c r="X638" i="1"/>
  <c r="W638" i="1"/>
  <c r="V638" i="1"/>
  <c r="S638" i="1"/>
  <c r="R638" i="1"/>
  <c r="Q638" i="1"/>
  <c r="O638" i="1"/>
  <c r="M638" i="1"/>
  <c r="L638" i="1"/>
  <c r="K638" i="1"/>
  <c r="J638" i="1"/>
  <c r="I638" i="1"/>
  <c r="H638" i="1"/>
  <c r="G638" i="1"/>
  <c r="F638" i="1"/>
  <c r="E638" i="1"/>
  <c r="D638" i="1"/>
  <c r="AO637" i="1"/>
  <c r="AN637" i="1"/>
  <c r="AM637" i="1"/>
  <c r="AL637" i="1"/>
  <c r="AK637" i="1"/>
  <c r="AJ637" i="1"/>
  <c r="AI637" i="1"/>
  <c r="AG637" i="1"/>
  <c r="AE637" i="1"/>
  <c r="AD637" i="1"/>
  <c r="AB637" i="1"/>
  <c r="AA637" i="1"/>
  <c r="Z637" i="1"/>
  <c r="X637" i="1"/>
  <c r="W637" i="1"/>
  <c r="V637" i="1"/>
  <c r="S637" i="1"/>
  <c r="R637" i="1"/>
  <c r="Q637" i="1"/>
  <c r="O637" i="1"/>
  <c r="M637" i="1"/>
  <c r="L637" i="1"/>
  <c r="K637" i="1"/>
  <c r="J637" i="1"/>
  <c r="I637" i="1"/>
  <c r="H637" i="1"/>
  <c r="G637" i="1"/>
  <c r="F637" i="1"/>
  <c r="E637" i="1"/>
  <c r="D637" i="1"/>
  <c r="AO636" i="1"/>
  <c r="AN636" i="1"/>
  <c r="AM636" i="1"/>
  <c r="AL636" i="1"/>
  <c r="AK636" i="1"/>
  <c r="AJ636" i="1"/>
  <c r="AI636" i="1"/>
  <c r="AG636" i="1"/>
  <c r="AE636" i="1"/>
  <c r="AD636" i="1"/>
  <c r="AB636" i="1"/>
  <c r="AA636" i="1"/>
  <c r="Z636" i="1"/>
  <c r="X636" i="1"/>
  <c r="W636" i="1"/>
  <c r="V636" i="1"/>
  <c r="S636" i="1"/>
  <c r="R636" i="1"/>
  <c r="Q636" i="1"/>
  <c r="O636" i="1"/>
  <c r="M636" i="1"/>
  <c r="L636" i="1"/>
  <c r="K636" i="1"/>
  <c r="J636" i="1"/>
  <c r="I636" i="1"/>
  <c r="H636" i="1"/>
  <c r="G636" i="1"/>
  <c r="F636" i="1"/>
  <c r="E636" i="1"/>
  <c r="D636" i="1"/>
  <c r="AO635" i="1"/>
  <c r="AN635" i="1"/>
  <c r="AM635" i="1"/>
  <c r="AL635" i="1"/>
  <c r="AK635" i="1"/>
  <c r="AJ635" i="1"/>
  <c r="AI635" i="1"/>
  <c r="AG635" i="1"/>
  <c r="AE635" i="1"/>
  <c r="AD635" i="1"/>
  <c r="AB635" i="1"/>
  <c r="AA635" i="1"/>
  <c r="Z635" i="1"/>
  <c r="X635" i="1"/>
  <c r="W635" i="1"/>
  <c r="V635" i="1"/>
  <c r="S635" i="1"/>
  <c r="R635" i="1"/>
  <c r="Q635" i="1"/>
  <c r="O635" i="1"/>
  <c r="M635" i="1"/>
  <c r="L635" i="1"/>
  <c r="K635" i="1"/>
  <c r="J635" i="1"/>
  <c r="I635" i="1"/>
  <c r="H635" i="1"/>
  <c r="G635" i="1"/>
  <c r="F635" i="1"/>
  <c r="E635" i="1"/>
  <c r="D635" i="1"/>
  <c r="AO634" i="1"/>
  <c r="AN634" i="1"/>
  <c r="AM634" i="1"/>
  <c r="AL634" i="1"/>
  <c r="AK634" i="1"/>
  <c r="AJ634" i="1"/>
  <c r="AI634" i="1"/>
  <c r="AG634" i="1"/>
  <c r="AE634" i="1"/>
  <c r="AD634" i="1"/>
  <c r="AB634" i="1"/>
  <c r="AA634" i="1"/>
  <c r="Z634" i="1"/>
  <c r="X634" i="1"/>
  <c r="W634" i="1"/>
  <c r="V634" i="1"/>
  <c r="S634" i="1"/>
  <c r="R634" i="1"/>
  <c r="Q634" i="1"/>
  <c r="O634" i="1"/>
  <c r="M634" i="1"/>
  <c r="L634" i="1"/>
  <c r="K634" i="1"/>
  <c r="J634" i="1"/>
  <c r="I634" i="1"/>
  <c r="H634" i="1"/>
  <c r="G634" i="1"/>
  <c r="F634" i="1"/>
  <c r="E634" i="1"/>
  <c r="D634" i="1"/>
  <c r="AO633" i="1"/>
  <c r="AN633" i="1"/>
  <c r="AM633" i="1"/>
  <c r="AL633" i="1"/>
  <c r="AK633" i="1"/>
  <c r="AJ633" i="1"/>
  <c r="AI633" i="1"/>
  <c r="AG633" i="1"/>
  <c r="AE633" i="1"/>
  <c r="AD633" i="1"/>
  <c r="AB633" i="1"/>
  <c r="AA633" i="1"/>
  <c r="Z633" i="1"/>
  <c r="X633" i="1"/>
  <c r="W633" i="1"/>
  <c r="V633" i="1"/>
  <c r="S633" i="1"/>
  <c r="R633" i="1"/>
  <c r="Q633" i="1"/>
  <c r="O633" i="1"/>
  <c r="M633" i="1"/>
  <c r="L633" i="1"/>
  <c r="K633" i="1"/>
  <c r="J633" i="1"/>
  <c r="I633" i="1"/>
  <c r="H633" i="1"/>
  <c r="G633" i="1"/>
  <c r="F633" i="1"/>
  <c r="E633" i="1"/>
  <c r="D633" i="1"/>
  <c r="AO632" i="1"/>
  <c r="AN632" i="1"/>
  <c r="AM632" i="1"/>
  <c r="AL632" i="1"/>
  <c r="AK632" i="1"/>
  <c r="AJ632" i="1"/>
  <c r="AI632" i="1"/>
  <c r="AG632" i="1"/>
  <c r="AE632" i="1"/>
  <c r="AD632" i="1"/>
  <c r="AB632" i="1"/>
  <c r="AA632" i="1"/>
  <c r="Z632" i="1"/>
  <c r="X632" i="1"/>
  <c r="W632" i="1"/>
  <c r="V632" i="1"/>
  <c r="S632" i="1"/>
  <c r="R632" i="1"/>
  <c r="Q632" i="1"/>
  <c r="O632" i="1"/>
  <c r="M632" i="1"/>
  <c r="L632" i="1"/>
  <c r="K632" i="1"/>
  <c r="J632" i="1"/>
  <c r="I632" i="1"/>
  <c r="H632" i="1"/>
  <c r="G632" i="1"/>
  <c r="F632" i="1"/>
  <c r="E632" i="1"/>
  <c r="D632" i="1"/>
  <c r="AO631" i="1"/>
  <c r="AN631" i="1"/>
  <c r="AM631" i="1"/>
  <c r="AL631" i="1"/>
  <c r="AK631" i="1"/>
  <c r="AJ631" i="1"/>
  <c r="AI631" i="1"/>
  <c r="AG631" i="1"/>
  <c r="AE631" i="1"/>
  <c r="AD631" i="1"/>
  <c r="AB631" i="1"/>
  <c r="AA631" i="1"/>
  <c r="Z631" i="1"/>
  <c r="X631" i="1"/>
  <c r="W631" i="1"/>
  <c r="V631" i="1"/>
  <c r="S631" i="1"/>
  <c r="R631" i="1"/>
  <c r="Q631" i="1"/>
  <c r="O631" i="1"/>
  <c r="M631" i="1"/>
  <c r="L631" i="1"/>
  <c r="K631" i="1"/>
  <c r="J631" i="1"/>
  <c r="I631" i="1"/>
  <c r="H631" i="1"/>
  <c r="G631" i="1"/>
  <c r="F631" i="1"/>
  <c r="E631" i="1"/>
  <c r="D631" i="1"/>
  <c r="AO630" i="1"/>
  <c r="AN630" i="1"/>
  <c r="AM630" i="1"/>
  <c r="AL630" i="1"/>
  <c r="AK630" i="1"/>
  <c r="AJ630" i="1"/>
  <c r="AI630" i="1"/>
  <c r="AG630" i="1"/>
  <c r="AE630" i="1"/>
  <c r="AD630" i="1"/>
  <c r="AB630" i="1"/>
  <c r="AA630" i="1"/>
  <c r="Z630" i="1"/>
  <c r="X630" i="1"/>
  <c r="W630" i="1"/>
  <c r="V630" i="1"/>
  <c r="S630" i="1"/>
  <c r="R630" i="1"/>
  <c r="Q630" i="1"/>
  <c r="O630" i="1"/>
  <c r="M630" i="1"/>
  <c r="L630" i="1"/>
  <c r="K630" i="1"/>
  <c r="J630" i="1"/>
  <c r="I630" i="1"/>
  <c r="H630" i="1"/>
  <c r="G630" i="1"/>
  <c r="F630" i="1"/>
  <c r="E630" i="1"/>
  <c r="D630" i="1"/>
  <c r="AO629" i="1"/>
  <c r="AN629" i="1"/>
  <c r="AM629" i="1"/>
  <c r="AL629" i="1"/>
  <c r="AK629" i="1"/>
  <c r="AJ629" i="1"/>
  <c r="AI629" i="1"/>
  <c r="AG629" i="1"/>
  <c r="AE629" i="1"/>
  <c r="AD629" i="1"/>
  <c r="AB629" i="1"/>
  <c r="AA629" i="1"/>
  <c r="Z629" i="1"/>
  <c r="X629" i="1"/>
  <c r="W629" i="1"/>
  <c r="V629" i="1"/>
  <c r="S629" i="1"/>
  <c r="R629" i="1"/>
  <c r="Q629" i="1"/>
  <c r="O629" i="1"/>
  <c r="M629" i="1"/>
  <c r="L629" i="1"/>
  <c r="K629" i="1"/>
  <c r="J629" i="1"/>
  <c r="I629" i="1"/>
  <c r="H629" i="1"/>
  <c r="G629" i="1"/>
  <c r="F629" i="1"/>
  <c r="E629" i="1"/>
  <c r="D629" i="1"/>
  <c r="AO628" i="1"/>
  <c r="AN628" i="1"/>
  <c r="AM628" i="1"/>
  <c r="AL628" i="1"/>
  <c r="AK628" i="1"/>
  <c r="AJ628" i="1"/>
  <c r="AI628" i="1"/>
  <c r="AG628" i="1"/>
  <c r="AE628" i="1"/>
  <c r="AD628" i="1"/>
  <c r="AB628" i="1"/>
  <c r="AA628" i="1"/>
  <c r="Z628" i="1"/>
  <c r="X628" i="1"/>
  <c r="W628" i="1"/>
  <c r="V628" i="1"/>
  <c r="S628" i="1"/>
  <c r="R628" i="1"/>
  <c r="Q628" i="1"/>
  <c r="O628" i="1"/>
  <c r="M628" i="1"/>
  <c r="L628" i="1"/>
  <c r="K628" i="1"/>
  <c r="J628" i="1"/>
  <c r="I628" i="1"/>
  <c r="H628" i="1"/>
  <c r="G628" i="1"/>
  <c r="F628" i="1"/>
  <c r="E628" i="1"/>
  <c r="D628" i="1"/>
  <c r="AO627" i="1"/>
  <c r="AN627" i="1"/>
  <c r="AM627" i="1"/>
  <c r="AL627" i="1"/>
  <c r="AK627" i="1"/>
  <c r="AJ627" i="1"/>
  <c r="AI627" i="1"/>
  <c r="AG627" i="1"/>
  <c r="AE627" i="1"/>
  <c r="AD627" i="1"/>
  <c r="AB627" i="1"/>
  <c r="AA627" i="1"/>
  <c r="Z627" i="1"/>
  <c r="X627" i="1"/>
  <c r="W627" i="1"/>
  <c r="V627" i="1"/>
  <c r="S627" i="1"/>
  <c r="R627" i="1"/>
  <c r="Q627" i="1"/>
  <c r="O627" i="1"/>
  <c r="M627" i="1"/>
  <c r="L627" i="1"/>
  <c r="K627" i="1"/>
  <c r="J627" i="1"/>
  <c r="I627" i="1"/>
  <c r="H627" i="1"/>
  <c r="G627" i="1"/>
  <c r="F627" i="1"/>
  <c r="E627" i="1"/>
  <c r="D627" i="1"/>
  <c r="AO626" i="1"/>
  <c r="AN626" i="1"/>
  <c r="AM626" i="1"/>
  <c r="AL626" i="1"/>
  <c r="AK626" i="1"/>
  <c r="AJ626" i="1"/>
  <c r="AI626" i="1"/>
  <c r="AG626" i="1"/>
  <c r="AE626" i="1"/>
  <c r="AD626" i="1"/>
  <c r="AB626" i="1"/>
  <c r="AA626" i="1"/>
  <c r="Z626" i="1"/>
  <c r="X626" i="1"/>
  <c r="W626" i="1"/>
  <c r="V626" i="1"/>
  <c r="S626" i="1"/>
  <c r="R626" i="1"/>
  <c r="Q626" i="1"/>
  <c r="O626" i="1"/>
  <c r="M626" i="1"/>
  <c r="L626" i="1"/>
  <c r="K626" i="1"/>
  <c r="J626" i="1"/>
  <c r="I626" i="1"/>
  <c r="H626" i="1"/>
  <c r="G626" i="1"/>
  <c r="F626" i="1"/>
  <c r="E626" i="1"/>
  <c r="D626" i="1"/>
  <c r="AO625" i="1"/>
  <c r="AN625" i="1"/>
  <c r="AM625" i="1"/>
  <c r="AL625" i="1"/>
  <c r="AK625" i="1"/>
  <c r="AJ625" i="1"/>
  <c r="AI625" i="1"/>
  <c r="AG625" i="1"/>
  <c r="AE625" i="1"/>
  <c r="AD625" i="1"/>
  <c r="AB625" i="1"/>
  <c r="AA625" i="1"/>
  <c r="Z625" i="1"/>
  <c r="X625" i="1"/>
  <c r="W625" i="1"/>
  <c r="V625" i="1"/>
  <c r="S625" i="1"/>
  <c r="R625" i="1"/>
  <c r="Q625" i="1"/>
  <c r="O625" i="1"/>
  <c r="M625" i="1"/>
  <c r="L625" i="1"/>
  <c r="K625" i="1"/>
  <c r="J625" i="1"/>
  <c r="I625" i="1"/>
  <c r="H625" i="1"/>
  <c r="G625" i="1"/>
  <c r="F625" i="1"/>
  <c r="E625" i="1"/>
  <c r="D625" i="1"/>
  <c r="AO624" i="1"/>
  <c r="AN624" i="1"/>
  <c r="AM624" i="1"/>
  <c r="AL624" i="1"/>
  <c r="AK624" i="1"/>
  <c r="AJ624" i="1"/>
  <c r="AI624" i="1"/>
  <c r="AG624" i="1"/>
  <c r="AE624" i="1"/>
  <c r="AD624" i="1"/>
  <c r="AB624" i="1"/>
  <c r="AA624" i="1"/>
  <c r="Z624" i="1"/>
  <c r="X624" i="1"/>
  <c r="W624" i="1"/>
  <c r="V624" i="1"/>
  <c r="S624" i="1"/>
  <c r="R624" i="1"/>
  <c r="Q624" i="1"/>
  <c r="O624" i="1"/>
  <c r="M624" i="1"/>
  <c r="L624" i="1"/>
  <c r="K624" i="1"/>
  <c r="J624" i="1"/>
  <c r="I624" i="1"/>
  <c r="H624" i="1"/>
  <c r="G624" i="1"/>
  <c r="F624" i="1"/>
  <c r="E624" i="1"/>
  <c r="D624" i="1"/>
  <c r="AO623" i="1"/>
  <c r="AN623" i="1"/>
  <c r="AM623" i="1"/>
  <c r="AL623" i="1"/>
  <c r="AK623" i="1"/>
  <c r="AJ623" i="1"/>
  <c r="AI623" i="1"/>
  <c r="AG623" i="1"/>
  <c r="AE623" i="1"/>
  <c r="AD623" i="1"/>
  <c r="AB623" i="1"/>
  <c r="AA623" i="1"/>
  <c r="Z623" i="1"/>
  <c r="X623" i="1"/>
  <c r="W623" i="1"/>
  <c r="V623" i="1"/>
  <c r="S623" i="1"/>
  <c r="R623" i="1"/>
  <c r="Q623" i="1"/>
  <c r="O623" i="1"/>
  <c r="M623" i="1"/>
  <c r="L623" i="1"/>
  <c r="K623" i="1"/>
  <c r="J623" i="1"/>
  <c r="I623" i="1"/>
  <c r="H623" i="1"/>
  <c r="G623" i="1"/>
  <c r="F623" i="1"/>
  <c r="E623" i="1"/>
  <c r="D623" i="1"/>
  <c r="AO622" i="1"/>
  <c r="AN622" i="1"/>
  <c r="AM622" i="1"/>
  <c r="AL622" i="1"/>
  <c r="AK622" i="1"/>
  <c r="AJ622" i="1"/>
  <c r="AI622" i="1"/>
  <c r="AG622" i="1"/>
  <c r="AE622" i="1"/>
  <c r="AD622" i="1"/>
  <c r="AB622" i="1"/>
  <c r="AA622" i="1"/>
  <c r="Z622" i="1"/>
  <c r="X622" i="1"/>
  <c r="W622" i="1"/>
  <c r="V622" i="1"/>
  <c r="S622" i="1"/>
  <c r="R622" i="1"/>
  <c r="Q622" i="1"/>
  <c r="O622" i="1"/>
  <c r="M622" i="1"/>
  <c r="L622" i="1"/>
  <c r="K622" i="1"/>
  <c r="J622" i="1"/>
  <c r="I622" i="1"/>
  <c r="H622" i="1"/>
  <c r="G622" i="1"/>
  <c r="F622" i="1"/>
  <c r="E622" i="1"/>
  <c r="D622" i="1"/>
  <c r="AO621" i="1"/>
  <c r="AN621" i="1"/>
  <c r="AM621" i="1"/>
  <c r="AL621" i="1"/>
  <c r="AK621" i="1"/>
  <c r="AJ621" i="1"/>
  <c r="AI621" i="1"/>
  <c r="AG621" i="1"/>
  <c r="AE621" i="1"/>
  <c r="AD621" i="1"/>
  <c r="AB621" i="1"/>
  <c r="AA621" i="1"/>
  <c r="Z621" i="1"/>
  <c r="X621" i="1"/>
  <c r="W621" i="1"/>
  <c r="V621" i="1"/>
  <c r="S621" i="1"/>
  <c r="R621" i="1"/>
  <c r="Q621" i="1"/>
  <c r="O621" i="1"/>
  <c r="M621" i="1"/>
  <c r="L621" i="1"/>
  <c r="K621" i="1"/>
  <c r="J621" i="1"/>
  <c r="I621" i="1"/>
  <c r="H621" i="1"/>
  <c r="G621" i="1"/>
  <c r="F621" i="1"/>
  <c r="E621" i="1"/>
  <c r="D621" i="1"/>
  <c r="AO620" i="1"/>
  <c r="AN620" i="1"/>
  <c r="AM620" i="1"/>
  <c r="AL620" i="1"/>
  <c r="AK620" i="1"/>
  <c r="AJ620" i="1"/>
  <c r="AI620" i="1"/>
  <c r="AG620" i="1"/>
  <c r="AE620" i="1"/>
  <c r="AD620" i="1"/>
  <c r="AB620" i="1"/>
  <c r="AA620" i="1"/>
  <c r="Z620" i="1"/>
  <c r="X620" i="1"/>
  <c r="W620" i="1"/>
  <c r="V620" i="1"/>
  <c r="S620" i="1"/>
  <c r="R620" i="1"/>
  <c r="Q620" i="1"/>
  <c r="O620" i="1"/>
  <c r="M620" i="1"/>
  <c r="L620" i="1"/>
  <c r="K620" i="1"/>
  <c r="J620" i="1"/>
  <c r="I620" i="1"/>
  <c r="H620" i="1"/>
  <c r="G620" i="1"/>
  <c r="F620" i="1"/>
  <c r="E620" i="1"/>
  <c r="D620" i="1"/>
  <c r="AO619" i="1"/>
  <c r="AN619" i="1"/>
  <c r="AM619" i="1"/>
  <c r="AL619" i="1"/>
  <c r="AK619" i="1"/>
  <c r="AJ619" i="1"/>
  <c r="AI619" i="1"/>
  <c r="AG619" i="1"/>
  <c r="AE619" i="1"/>
  <c r="AD619" i="1"/>
  <c r="AB619" i="1"/>
  <c r="AA619" i="1"/>
  <c r="Z619" i="1"/>
  <c r="X619" i="1"/>
  <c r="W619" i="1"/>
  <c r="V619" i="1"/>
  <c r="S619" i="1"/>
  <c r="R619" i="1"/>
  <c r="Q619" i="1"/>
  <c r="O619" i="1"/>
  <c r="M619" i="1"/>
  <c r="L619" i="1"/>
  <c r="K619" i="1"/>
  <c r="J619" i="1"/>
  <c r="I619" i="1"/>
  <c r="H619" i="1"/>
  <c r="G619" i="1"/>
  <c r="F619" i="1"/>
  <c r="E619" i="1"/>
  <c r="D619" i="1"/>
  <c r="AO618" i="1"/>
  <c r="AN618" i="1"/>
  <c r="AM618" i="1"/>
  <c r="AL618" i="1"/>
  <c r="AK618" i="1"/>
  <c r="AJ618" i="1"/>
  <c r="AI618" i="1"/>
  <c r="AG618" i="1"/>
  <c r="AE618" i="1"/>
  <c r="AD618" i="1"/>
  <c r="AB618" i="1"/>
  <c r="AA618" i="1"/>
  <c r="Z618" i="1"/>
  <c r="X618" i="1"/>
  <c r="W618" i="1"/>
  <c r="V618" i="1"/>
  <c r="S618" i="1"/>
  <c r="R618" i="1"/>
  <c r="Q618" i="1"/>
  <c r="O618" i="1"/>
  <c r="M618" i="1"/>
  <c r="L618" i="1"/>
  <c r="K618" i="1"/>
  <c r="J618" i="1"/>
  <c r="I618" i="1"/>
  <c r="H618" i="1"/>
  <c r="G618" i="1"/>
  <c r="F618" i="1"/>
  <c r="E618" i="1"/>
  <c r="D618" i="1"/>
  <c r="AO617" i="1"/>
  <c r="AN617" i="1"/>
  <c r="AM617" i="1"/>
  <c r="AL617" i="1"/>
  <c r="AK617" i="1"/>
  <c r="AJ617" i="1"/>
  <c r="AI617" i="1"/>
  <c r="AG617" i="1"/>
  <c r="AE617" i="1"/>
  <c r="AD617" i="1"/>
  <c r="AB617" i="1"/>
  <c r="AA617" i="1"/>
  <c r="Z617" i="1"/>
  <c r="X617" i="1"/>
  <c r="W617" i="1"/>
  <c r="V617" i="1"/>
  <c r="S617" i="1"/>
  <c r="R617" i="1"/>
  <c r="Q617" i="1"/>
  <c r="O617" i="1"/>
  <c r="M617" i="1"/>
  <c r="L617" i="1"/>
  <c r="K617" i="1"/>
  <c r="J617" i="1"/>
  <c r="I617" i="1"/>
  <c r="H617" i="1"/>
  <c r="G617" i="1"/>
  <c r="F617" i="1"/>
  <c r="E617" i="1"/>
  <c r="D617" i="1"/>
  <c r="AO616" i="1"/>
  <c r="AN616" i="1"/>
  <c r="AM616" i="1"/>
  <c r="AL616" i="1"/>
  <c r="AK616" i="1"/>
  <c r="AJ616" i="1"/>
  <c r="AI616" i="1"/>
  <c r="AG616" i="1"/>
  <c r="AE616" i="1"/>
  <c r="AD616" i="1"/>
  <c r="AB616" i="1"/>
  <c r="AA616" i="1"/>
  <c r="Z616" i="1"/>
  <c r="X616" i="1"/>
  <c r="W616" i="1"/>
  <c r="V616" i="1"/>
  <c r="S616" i="1"/>
  <c r="R616" i="1"/>
  <c r="Q616" i="1"/>
  <c r="O616" i="1"/>
  <c r="M616" i="1"/>
  <c r="L616" i="1"/>
  <c r="K616" i="1"/>
  <c r="J616" i="1"/>
  <c r="I616" i="1"/>
  <c r="H616" i="1"/>
  <c r="G616" i="1"/>
  <c r="F616" i="1"/>
  <c r="E616" i="1"/>
  <c r="D616" i="1"/>
  <c r="AO615" i="1"/>
  <c r="AN615" i="1"/>
  <c r="AM615" i="1"/>
  <c r="AL615" i="1"/>
  <c r="AK615" i="1"/>
  <c r="AJ615" i="1"/>
  <c r="AI615" i="1"/>
  <c r="AG615" i="1"/>
  <c r="AE615" i="1"/>
  <c r="AD615" i="1"/>
  <c r="AB615" i="1"/>
  <c r="AA615" i="1"/>
  <c r="Z615" i="1"/>
  <c r="X615" i="1"/>
  <c r="W615" i="1"/>
  <c r="V615" i="1"/>
  <c r="S615" i="1"/>
  <c r="R615" i="1"/>
  <c r="Q615" i="1"/>
  <c r="O615" i="1"/>
  <c r="M615" i="1"/>
  <c r="L615" i="1"/>
  <c r="K615" i="1"/>
  <c r="J615" i="1"/>
  <c r="I615" i="1"/>
  <c r="H615" i="1"/>
  <c r="G615" i="1"/>
  <c r="F615" i="1"/>
  <c r="E615" i="1"/>
  <c r="D615" i="1"/>
  <c r="AO614" i="1"/>
  <c r="AN614" i="1"/>
  <c r="AM614" i="1"/>
  <c r="AL614" i="1"/>
  <c r="AK614" i="1"/>
  <c r="AJ614" i="1"/>
  <c r="AI614" i="1"/>
  <c r="AG614" i="1"/>
  <c r="AE614" i="1"/>
  <c r="AD614" i="1"/>
  <c r="AB614" i="1"/>
  <c r="AA614" i="1"/>
  <c r="Z614" i="1"/>
  <c r="X614" i="1"/>
  <c r="W614" i="1"/>
  <c r="V614" i="1"/>
  <c r="S614" i="1"/>
  <c r="R614" i="1"/>
  <c r="Q614" i="1"/>
  <c r="O614" i="1"/>
  <c r="M614" i="1"/>
  <c r="L614" i="1"/>
  <c r="K614" i="1"/>
  <c r="J614" i="1"/>
  <c r="I614" i="1"/>
  <c r="H614" i="1"/>
  <c r="G614" i="1"/>
  <c r="F614" i="1"/>
  <c r="E614" i="1"/>
  <c r="D614" i="1"/>
  <c r="AO613" i="1"/>
  <c r="AN613" i="1"/>
  <c r="AM613" i="1"/>
  <c r="AL613" i="1"/>
  <c r="AK613" i="1"/>
  <c r="AJ613" i="1"/>
  <c r="AI613" i="1"/>
  <c r="AG613" i="1"/>
  <c r="AE613" i="1"/>
  <c r="AD613" i="1"/>
  <c r="AB613" i="1"/>
  <c r="AA613" i="1"/>
  <c r="Z613" i="1"/>
  <c r="X613" i="1"/>
  <c r="W613" i="1"/>
  <c r="V613" i="1"/>
  <c r="S613" i="1"/>
  <c r="R613" i="1"/>
  <c r="Q613" i="1"/>
  <c r="O613" i="1"/>
  <c r="M613" i="1"/>
  <c r="L613" i="1"/>
  <c r="K613" i="1"/>
  <c r="J613" i="1"/>
  <c r="I613" i="1"/>
  <c r="H613" i="1"/>
  <c r="G613" i="1"/>
  <c r="F613" i="1"/>
  <c r="E613" i="1"/>
  <c r="D613" i="1"/>
  <c r="AO612" i="1"/>
  <c r="AN612" i="1"/>
  <c r="AM612" i="1"/>
  <c r="AL612" i="1"/>
  <c r="AK612" i="1"/>
  <c r="AJ612" i="1"/>
  <c r="AI612" i="1"/>
  <c r="AG612" i="1"/>
  <c r="AE612" i="1"/>
  <c r="AD612" i="1"/>
  <c r="AB612" i="1"/>
  <c r="AA612" i="1"/>
  <c r="Z612" i="1"/>
  <c r="X612" i="1"/>
  <c r="W612" i="1"/>
  <c r="V612" i="1"/>
  <c r="S612" i="1"/>
  <c r="R612" i="1"/>
  <c r="Q612" i="1"/>
  <c r="O612" i="1"/>
  <c r="M612" i="1"/>
  <c r="L612" i="1"/>
  <c r="K612" i="1"/>
  <c r="J612" i="1"/>
  <c r="I612" i="1"/>
  <c r="H612" i="1"/>
  <c r="G612" i="1"/>
  <c r="F612" i="1"/>
  <c r="E612" i="1"/>
  <c r="D612" i="1"/>
  <c r="AO611" i="1"/>
  <c r="AN611" i="1"/>
  <c r="AM611" i="1"/>
  <c r="AL611" i="1"/>
  <c r="AK611" i="1"/>
  <c r="AJ611" i="1"/>
  <c r="AI611" i="1"/>
  <c r="AG611" i="1"/>
  <c r="AE611" i="1"/>
  <c r="AD611" i="1"/>
  <c r="AB611" i="1"/>
  <c r="AA611" i="1"/>
  <c r="Z611" i="1"/>
  <c r="X611" i="1"/>
  <c r="W611" i="1"/>
  <c r="V611" i="1"/>
  <c r="S611" i="1"/>
  <c r="R611" i="1"/>
  <c r="Q611" i="1"/>
  <c r="O611" i="1"/>
  <c r="M611" i="1"/>
  <c r="L611" i="1"/>
  <c r="K611" i="1"/>
  <c r="J611" i="1"/>
  <c r="I611" i="1"/>
  <c r="H611" i="1"/>
  <c r="G611" i="1"/>
  <c r="F611" i="1"/>
  <c r="E611" i="1"/>
  <c r="D611" i="1"/>
  <c r="AO610" i="1"/>
  <c r="AN610" i="1"/>
  <c r="AM610" i="1"/>
  <c r="AL610" i="1"/>
  <c r="AK610" i="1"/>
  <c r="AJ610" i="1"/>
  <c r="AI610" i="1"/>
  <c r="AG610" i="1"/>
  <c r="AE610" i="1"/>
  <c r="AD610" i="1"/>
  <c r="AB610" i="1"/>
  <c r="AA610" i="1"/>
  <c r="Z610" i="1"/>
  <c r="X610" i="1"/>
  <c r="W610" i="1"/>
  <c r="V610" i="1"/>
  <c r="S610" i="1"/>
  <c r="R610" i="1"/>
  <c r="Q610" i="1"/>
  <c r="O610" i="1"/>
  <c r="M610" i="1"/>
  <c r="L610" i="1"/>
  <c r="K610" i="1"/>
  <c r="J610" i="1"/>
  <c r="I610" i="1"/>
  <c r="H610" i="1"/>
  <c r="G610" i="1"/>
  <c r="F610" i="1"/>
  <c r="E610" i="1"/>
  <c r="D610" i="1"/>
  <c r="AO609" i="1"/>
  <c r="AN609" i="1"/>
  <c r="AM609" i="1"/>
  <c r="AL609" i="1"/>
  <c r="AK609" i="1"/>
  <c r="AJ609" i="1"/>
  <c r="AI609" i="1"/>
  <c r="AG609" i="1"/>
  <c r="AE609" i="1"/>
  <c r="AD609" i="1"/>
  <c r="AB609" i="1"/>
  <c r="AA609" i="1"/>
  <c r="Z609" i="1"/>
  <c r="X609" i="1"/>
  <c r="W609" i="1"/>
  <c r="V609" i="1"/>
  <c r="S609" i="1"/>
  <c r="R609" i="1"/>
  <c r="Q609" i="1"/>
  <c r="O609" i="1"/>
  <c r="M609" i="1"/>
  <c r="L609" i="1"/>
  <c r="K609" i="1"/>
  <c r="J609" i="1"/>
  <c r="I609" i="1"/>
  <c r="H609" i="1"/>
  <c r="G609" i="1"/>
  <c r="F609" i="1"/>
  <c r="E609" i="1"/>
  <c r="D609" i="1"/>
  <c r="AO608" i="1"/>
  <c r="AN608" i="1"/>
  <c r="AM608" i="1"/>
  <c r="AL608" i="1"/>
  <c r="AK608" i="1"/>
  <c r="AJ608" i="1"/>
  <c r="AI608" i="1"/>
  <c r="AG608" i="1"/>
  <c r="AE608" i="1"/>
  <c r="AD608" i="1"/>
  <c r="AB608" i="1"/>
  <c r="AA608" i="1"/>
  <c r="Z608" i="1"/>
  <c r="X608" i="1"/>
  <c r="W608" i="1"/>
  <c r="V608" i="1"/>
  <c r="S608" i="1"/>
  <c r="R608" i="1"/>
  <c r="Q608" i="1"/>
  <c r="O608" i="1"/>
  <c r="M608" i="1"/>
  <c r="L608" i="1"/>
  <c r="K608" i="1"/>
  <c r="J608" i="1"/>
  <c r="I608" i="1"/>
  <c r="H608" i="1"/>
  <c r="G608" i="1"/>
  <c r="F608" i="1"/>
  <c r="E608" i="1"/>
  <c r="D608" i="1"/>
  <c r="AO607" i="1"/>
  <c r="AN607" i="1"/>
  <c r="AM607" i="1"/>
  <c r="AL607" i="1"/>
  <c r="AK607" i="1"/>
  <c r="AJ607" i="1"/>
  <c r="AI607" i="1"/>
  <c r="AG607" i="1"/>
  <c r="AE607" i="1"/>
  <c r="AD607" i="1"/>
  <c r="AB607" i="1"/>
  <c r="AA607" i="1"/>
  <c r="Z607" i="1"/>
  <c r="X607" i="1"/>
  <c r="W607" i="1"/>
  <c r="V607" i="1"/>
  <c r="S607" i="1"/>
  <c r="R607" i="1"/>
  <c r="Q607" i="1"/>
  <c r="O607" i="1"/>
  <c r="M607" i="1"/>
  <c r="L607" i="1"/>
  <c r="K607" i="1"/>
  <c r="J607" i="1"/>
  <c r="I607" i="1"/>
  <c r="H607" i="1"/>
  <c r="G607" i="1"/>
  <c r="F607" i="1"/>
  <c r="E607" i="1"/>
  <c r="D607" i="1"/>
  <c r="AO606" i="1"/>
  <c r="AN606" i="1"/>
  <c r="AM606" i="1"/>
  <c r="AL606" i="1"/>
  <c r="AK606" i="1"/>
  <c r="AJ606" i="1"/>
  <c r="AI606" i="1"/>
  <c r="AG606" i="1"/>
  <c r="AE606" i="1"/>
  <c r="AD606" i="1"/>
  <c r="AB606" i="1"/>
  <c r="AA606" i="1"/>
  <c r="Z606" i="1"/>
  <c r="X606" i="1"/>
  <c r="W606" i="1"/>
  <c r="V606" i="1"/>
  <c r="S606" i="1"/>
  <c r="R606" i="1"/>
  <c r="Q606" i="1"/>
  <c r="O606" i="1"/>
  <c r="M606" i="1"/>
  <c r="L606" i="1"/>
  <c r="K606" i="1"/>
  <c r="J606" i="1"/>
  <c r="I606" i="1"/>
  <c r="H606" i="1"/>
  <c r="G606" i="1"/>
  <c r="F606" i="1"/>
  <c r="E606" i="1"/>
  <c r="D606" i="1"/>
  <c r="AO605" i="1"/>
  <c r="AN605" i="1"/>
  <c r="AM605" i="1"/>
  <c r="AL605" i="1"/>
  <c r="AK605" i="1"/>
  <c r="AJ605" i="1"/>
  <c r="AI605" i="1"/>
  <c r="AG605" i="1"/>
  <c r="AE605" i="1"/>
  <c r="AD605" i="1"/>
  <c r="AB605" i="1"/>
  <c r="AA605" i="1"/>
  <c r="Z605" i="1"/>
  <c r="X605" i="1"/>
  <c r="W605" i="1"/>
  <c r="V605" i="1"/>
  <c r="S605" i="1"/>
  <c r="R605" i="1"/>
  <c r="Q605" i="1"/>
  <c r="O605" i="1"/>
  <c r="M605" i="1"/>
  <c r="L605" i="1"/>
  <c r="K605" i="1"/>
  <c r="J605" i="1"/>
  <c r="I605" i="1"/>
  <c r="H605" i="1"/>
  <c r="G605" i="1"/>
  <c r="F605" i="1"/>
  <c r="E605" i="1"/>
  <c r="D605" i="1"/>
  <c r="AO604" i="1"/>
  <c r="AN604" i="1"/>
  <c r="AM604" i="1"/>
  <c r="AL604" i="1"/>
  <c r="AK604" i="1"/>
  <c r="AJ604" i="1"/>
  <c r="AI604" i="1"/>
  <c r="AG604" i="1"/>
  <c r="AE604" i="1"/>
  <c r="AD604" i="1"/>
  <c r="AB604" i="1"/>
  <c r="AA604" i="1"/>
  <c r="Z604" i="1"/>
  <c r="X604" i="1"/>
  <c r="W604" i="1"/>
  <c r="V604" i="1"/>
  <c r="S604" i="1"/>
  <c r="R604" i="1"/>
  <c r="Q604" i="1"/>
  <c r="O604" i="1"/>
  <c r="M604" i="1"/>
  <c r="L604" i="1"/>
  <c r="K604" i="1"/>
  <c r="J604" i="1"/>
  <c r="I604" i="1"/>
  <c r="H604" i="1"/>
  <c r="G604" i="1"/>
  <c r="F604" i="1"/>
  <c r="E604" i="1"/>
  <c r="D604" i="1"/>
  <c r="AO603" i="1"/>
  <c r="AN603" i="1"/>
  <c r="AM603" i="1"/>
  <c r="AL603" i="1"/>
  <c r="AK603" i="1"/>
  <c r="AJ603" i="1"/>
  <c r="AI603" i="1"/>
  <c r="AG603" i="1"/>
  <c r="AE603" i="1"/>
  <c r="AD603" i="1"/>
  <c r="AB603" i="1"/>
  <c r="AA603" i="1"/>
  <c r="Z603" i="1"/>
  <c r="X603" i="1"/>
  <c r="W603" i="1"/>
  <c r="V603" i="1"/>
  <c r="S603" i="1"/>
  <c r="R603" i="1"/>
  <c r="Q603" i="1"/>
  <c r="O603" i="1"/>
  <c r="M603" i="1"/>
  <c r="L603" i="1"/>
  <c r="K603" i="1"/>
  <c r="J603" i="1"/>
  <c r="I603" i="1"/>
  <c r="H603" i="1"/>
  <c r="G603" i="1"/>
  <c r="F603" i="1"/>
  <c r="E603" i="1"/>
  <c r="D603" i="1"/>
  <c r="AO602" i="1"/>
  <c r="AN602" i="1"/>
  <c r="AM602" i="1"/>
  <c r="AL602" i="1"/>
  <c r="AK602" i="1"/>
  <c r="AJ602" i="1"/>
  <c r="AI602" i="1"/>
  <c r="AG602" i="1"/>
  <c r="AE602" i="1"/>
  <c r="AD602" i="1"/>
  <c r="AB602" i="1"/>
  <c r="AA602" i="1"/>
  <c r="Z602" i="1"/>
  <c r="X602" i="1"/>
  <c r="W602" i="1"/>
  <c r="V602" i="1"/>
  <c r="S602" i="1"/>
  <c r="R602" i="1"/>
  <c r="Q602" i="1"/>
  <c r="O602" i="1"/>
  <c r="M602" i="1"/>
  <c r="L602" i="1"/>
  <c r="K602" i="1"/>
  <c r="J602" i="1"/>
  <c r="I602" i="1"/>
  <c r="H602" i="1"/>
  <c r="G602" i="1"/>
  <c r="F602" i="1"/>
  <c r="E602" i="1"/>
  <c r="D602" i="1"/>
  <c r="AO601" i="1"/>
  <c r="AN601" i="1"/>
  <c r="AM601" i="1"/>
  <c r="AL601" i="1"/>
  <c r="AK601" i="1"/>
  <c r="AJ601" i="1"/>
  <c r="AI601" i="1"/>
  <c r="AG601" i="1"/>
  <c r="AE601" i="1"/>
  <c r="AD601" i="1"/>
  <c r="AB601" i="1"/>
  <c r="AA601" i="1"/>
  <c r="Z601" i="1"/>
  <c r="X601" i="1"/>
  <c r="W601" i="1"/>
  <c r="V601" i="1"/>
  <c r="S601" i="1"/>
  <c r="R601" i="1"/>
  <c r="Q601" i="1"/>
  <c r="O601" i="1"/>
  <c r="M601" i="1"/>
  <c r="L601" i="1"/>
  <c r="K601" i="1"/>
  <c r="J601" i="1"/>
  <c r="I601" i="1"/>
  <c r="H601" i="1"/>
  <c r="G601" i="1"/>
  <c r="F601" i="1"/>
  <c r="E601" i="1"/>
  <c r="D601" i="1"/>
  <c r="AO600" i="1"/>
  <c r="AN600" i="1"/>
  <c r="AM600" i="1"/>
  <c r="AL600" i="1"/>
  <c r="AK600" i="1"/>
  <c r="AJ600" i="1"/>
  <c r="AI600" i="1"/>
  <c r="AG600" i="1"/>
  <c r="AE600" i="1"/>
  <c r="AD600" i="1"/>
  <c r="AB600" i="1"/>
  <c r="AA600" i="1"/>
  <c r="Z600" i="1"/>
  <c r="X600" i="1"/>
  <c r="W600" i="1"/>
  <c r="V600" i="1"/>
  <c r="S600" i="1"/>
  <c r="R600" i="1"/>
  <c r="Q600" i="1"/>
  <c r="O600" i="1"/>
  <c r="M600" i="1"/>
  <c r="L600" i="1"/>
  <c r="K600" i="1"/>
  <c r="J600" i="1"/>
  <c r="I600" i="1"/>
  <c r="H600" i="1"/>
  <c r="G600" i="1"/>
  <c r="F600" i="1"/>
  <c r="E600" i="1"/>
  <c r="D600" i="1"/>
  <c r="AO599" i="1"/>
  <c r="AN599" i="1"/>
  <c r="AM599" i="1"/>
  <c r="AL599" i="1"/>
  <c r="AK599" i="1"/>
  <c r="AJ599" i="1"/>
  <c r="AI599" i="1"/>
  <c r="AG599" i="1"/>
  <c r="AE599" i="1"/>
  <c r="AD599" i="1"/>
  <c r="AB599" i="1"/>
  <c r="AA599" i="1"/>
  <c r="Z599" i="1"/>
  <c r="X599" i="1"/>
  <c r="W599" i="1"/>
  <c r="V599" i="1"/>
  <c r="S599" i="1"/>
  <c r="R599" i="1"/>
  <c r="Q599" i="1"/>
  <c r="O599" i="1"/>
  <c r="M599" i="1"/>
  <c r="L599" i="1"/>
  <c r="K599" i="1"/>
  <c r="J599" i="1"/>
  <c r="I599" i="1"/>
  <c r="H599" i="1"/>
  <c r="G599" i="1"/>
  <c r="F599" i="1"/>
  <c r="E599" i="1"/>
  <c r="D599" i="1"/>
  <c r="AO598" i="1"/>
  <c r="AN598" i="1"/>
  <c r="AM598" i="1"/>
  <c r="AL598" i="1"/>
  <c r="AK598" i="1"/>
  <c r="AJ598" i="1"/>
  <c r="AI598" i="1"/>
  <c r="AG598" i="1"/>
  <c r="AE598" i="1"/>
  <c r="AD598" i="1"/>
  <c r="AB598" i="1"/>
  <c r="AA598" i="1"/>
  <c r="Z598" i="1"/>
  <c r="X598" i="1"/>
  <c r="W598" i="1"/>
  <c r="V598" i="1"/>
  <c r="S598" i="1"/>
  <c r="R598" i="1"/>
  <c r="Q598" i="1"/>
  <c r="O598" i="1"/>
  <c r="M598" i="1"/>
  <c r="L598" i="1"/>
  <c r="K598" i="1"/>
  <c r="J598" i="1"/>
  <c r="I598" i="1"/>
  <c r="H598" i="1"/>
  <c r="G598" i="1"/>
  <c r="F598" i="1"/>
  <c r="E598" i="1"/>
  <c r="D598" i="1"/>
  <c r="AO597" i="1"/>
  <c r="AN597" i="1"/>
  <c r="AM597" i="1"/>
  <c r="AL597" i="1"/>
  <c r="AK597" i="1"/>
  <c r="AJ597" i="1"/>
  <c r="AI597" i="1"/>
  <c r="AG597" i="1"/>
  <c r="AE597" i="1"/>
  <c r="AD597" i="1"/>
  <c r="AB597" i="1"/>
  <c r="AA597" i="1"/>
  <c r="Z597" i="1"/>
  <c r="X597" i="1"/>
  <c r="W597" i="1"/>
  <c r="V597" i="1"/>
  <c r="S597" i="1"/>
  <c r="R597" i="1"/>
  <c r="Q597" i="1"/>
  <c r="O597" i="1"/>
  <c r="M597" i="1"/>
  <c r="L597" i="1"/>
  <c r="K597" i="1"/>
  <c r="J597" i="1"/>
  <c r="I597" i="1"/>
  <c r="H597" i="1"/>
  <c r="G597" i="1"/>
  <c r="F597" i="1"/>
  <c r="E597" i="1"/>
  <c r="D597" i="1"/>
  <c r="AO596" i="1"/>
  <c r="AN596" i="1"/>
  <c r="AM596" i="1"/>
  <c r="AL596" i="1"/>
  <c r="AK596" i="1"/>
  <c r="AJ596" i="1"/>
  <c r="AI596" i="1"/>
  <c r="AG596" i="1"/>
  <c r="AE596" i="1"/>
  <c r="AD596" i="1"/>
  <c r="AB596" i="1"/>
  <c r="AA596" i="1"/>
  <c r="Z596" i="1"/>
  <c r="X596" i="1"/>
  <c r="W596" i="1"/>
  <c r="V596" i="1"/>
  <c r="S596" i="1"/>
  <c r="R596" i="1"/>
  <c r="Q596" i="1"/>
  <c r="O596" i="1"/>
  <c r="M596" i="1"/>
  <c r="L596" i="1"/>
  <c r="K596" i="1"/>
  <c r="J596" i="1"/>
  <c r="I596" i="1"/>
  <c r="H596" i="1"/>
  <c r="G596" i="1"/>
  <c r="F596" i="1"/>
  <c r="E596" i="1"/>
  <c r="D596" i="1"/>
  <c r="AO595" i="1"/>
  <c r="AN595" i="1"/>
  <c r="AM595" i="1"/>
  <c r="AL595" i="1"/>
  <c r="AK595" i="1"/>
  <c r="AJ595" i="1"/>
  <c r="AI595" i="1"/>
  <c r="AG595" i="1"/>
  <c r="AE595" i="1"/>
  <c r="AD595" i="1"/>
  <c r="AB595" i="1"/>
  <c r="AA595" i="1"/>
  <c r="Z595" i="1"/>
  <c r="X595" i="1"/>
  <c r="W595" i="1"/>
  <c r="V595" i="1"/>
  <c r="S595" i="1"/>
  <c r="R595" i="1"/>
  <c r="Q595" i="1"/>
  <c r="O595" i="1"/>
  <c r="M595" i="1"/>
  <c r="L595" i="1"/>
  <c r="K595" i="1"/>
  <c r="J595" i="1"/>
  <c r="I595" i="1"/>
  <c r="H595" i="1"/>
  <c r="G595" i="1"/>
  <c r="F595" i="1"/>
  <c r="E595" i="1"/>
  <c r="D595" i="1"/>
  <c r="AO594" i="1"/>
  <c r="AN594" i="1"/>
  <c r="AM594" i="1"/>
  <c r="AL594" i="1"/>
  <c r="AK594" i="1"/>
  <c r="AJ594" i="1"/>
  <c r="AI594" i="1"/>
  <c r="AG594" i="1"/>
  <c r="AE594" i="1"/>
  <c r="AD594" i="1"/>
  <c r="AB594" i="1"/>
  <c r="AA594" i="1"/>
  <c r="Z594" i="1"/>
  <c r="X594" i="1"/>
  <c r="W594" i="1"/>
  <c r="V594" i="1"/>
  <c r="S594" i="1"/>
  <c r="R594" i="1"/>
  <c r="Q594" i="1"/>
  <c r="O594" i="1"/>
  <c r="M594" i="1"/>
  <c r="L594" i="1"/>
  <c r="K594" i="1"/>
  <c r="J594" i="1"/>
  <c r="I594" i="1"/>
  <c r="H594" i="1"/>
  <c r="G594" i="1"/>
  <c r="F594" i="1"/>
  <c r="E594" i="1"/>
  <c r="D594" i="1"/>
  <c r="AO593" i="1"/>
  <c r="AN593" i="1"/>
  <c r="AM593" i="1"/>
  <c r="AL593" i="1"/>
  <c r="AK593" i="1"/>
  <c r="AJ593" i="1"/>
  <c r="AI593" i="1"/>
  <c r="AG593" i="1"/>
  <c r="AE593" i="1"/>
  <c r="AD593" i="1"/>
  <c r="AB593" i="1"/>
  <c r="AA593" i="1"/>
  <c r="Z593" i="1"/>
  <c r="X593" i="1"/>
  <c r="W593" i="1"/>
  <c r="V593" i="1"/>
  <c r="S593" i="1"/>
  <c r="R593" i="1"/>
  <c r="Q593" i="1"/>
  <c r="O593" i="1"/>
  <c r="M593" i="1"/>
  <c r="L593" i="1"/>
  <c r="K593" i="1"/>
  <c r="J593" i="1"/>
  <c r="I593" i="1"/>
  <c r="H593" i="1"/>
  <c r="G593" i="1"/>
  <c r="F593" i="1"/>
  <c r="E593" i="1"/>
  <c r="D593" i="1"/>
  <c r="AO592" i="1"/>
  <c r="AN592" i="1"/>
  <c r="AM592" i="1"/>
  <c r="AL592" i="1"/>
  <c r="AK592" i="1"/>
  <c r="AJ592" i="1"/>
  <c r="AI592" i="1"/>
  <c r="AG592" i="1"/>
  <c r="AE592" i="1"/>
  <c r="AD592" i="1"/>
  <c r="AB592" i="1"/>
  <c r="AA592" i="1"/>
  <c r="Z592" i="1"/>
  <c r="X592" i="1"/>
  <c r="W592" i="1"/>
  <c r="V592" i="1"/>
  <c r="S592" i="1"/>
  <c r="R592" i="1"/>
  <c r="Q592" i="1"/>
  <c r="O592" i="1"/>
  <c r="M592" i="1"/>
  <c r="L592" i="1"/>
  <c r="K592" i="1"/>
  <c r="J592" i="1"/>
  <c r="I592" i="1"/>
  <c r="H592" i="1"/>
  <c r="G592" i="1"/>
  <c r="F592" i="1"/>
  <c r="E592" i="1"/>
  <c r="D592" i="1"/>
  <c r="AO591" i="1"/>
  <c r="AN591" i="1"/>
  <c r="AM591" i="1"/>
  <c r="AL591" i="1"/>
  <c r="AK591" i="1"/>
  <c r="AJ591" i="1"/>
  <c r="AI591" i="1"/>
  <c r="AG591" i="1"/>
  <c r="AE591" i="1"/>
  <c r="AD591" i="1"/>
  <c r="AB591" i="1"/>
  <c r="AA591" i="1"/>
  <c r="Z591" i="1"/>
  <c r="X591" i="1"/>
  <c r="W591" i="1"/>
  <c r="V591" i="1"/>
  <c r="S591" i="1"/>
  <c r="R591" i="1"/>
  <c r="Q591" i="1"/>
  <c r="O591" i="1"/>
  <c r="M591" i="1"/>
  <c r="L591" i="1"/>
  <c r="K591" i="1"/>
  <c r="J591" i="1"/>
  <c r="I591" i="1"/>
  <c r="H591" i="1"/>
  <c r="G591" i="1"/>
  <c r="F591" i="1"/>
  <c r="E591" i="1"/>
  <c r="D591" i="1"/>
  <c r="AO590" i="1"/>
  <c r="AN590" i="1"/>
  <c r="AM590" i="1"/>
  <c r="AL590" i="1"/>
  <c r="AK590" i="1"/>
  <c r="AJ590" i="1"/>
  <c r="AI590" i="1"/>
  <c r="AG590" i="1"/>
  <c r="AE590" i="1"/>
  <c r="AD590" i="1"/>
  <c r="AB590" i="1"/>
  <c r="AA590" i="1"/>
  <c r="Z590" i="1"/>
  <c r="X590" i="1"/>
  <c r="W590" i="1"/>
  <c r="V590" i="1"/>
  <c r="S590" i="1"/>
  <c r="R590" i="1"/>
  <c r="Q590" i="1"/>
  <c r="O590" i="1"/>
  <c r="M590" i="1"/>
  <c r="L590" i="1"/>
  <c r="K590" i="1"/>
  <c r="J590" i="1"/>
  <c r="I590" i="1"/>
  <c r="H590" i="1"/>
  <c r="G590" i="1"/>
  <c r="F590" i="1"/>
  <c r="E590" i="1"/>
  <c r="D590" i="1"/>
  <c r="AO589" i="1"/>
  <c r="AN589" i="1"/>
  <c r="AM589" i="1"/>
  <c r="AL589" i="1"/>
  <c r="AK589" i="1"/>
  <c r="AJ589" i="1"/>
  <c r="AI589" i="1"/>
  <c r="AG589" i="1"/>
  <c r="AE589" i="1"/>
  <c r="AD589" i="1"/>
  <c r="AB589" i="1"/>
  <c r="AA589" i="1"/>
  <c r="Z589" i="1"/>
  <c r="X589" i="1"/>
  <c r="W589" i="1"/>
  <c r="V589" i="1"/>
  <c r="S589" i="1"/>
  <c r="R589" i="1"/>
  <c r="Q589" i="1"/>
  <c r="O589" i="1"/>
  <c r="M589" i="1"/>
  <c r="L589" i="1"/>
  <c r="K589" i="1"/>
  <c r="J589" i="1"/>
  <c r="I589" i="1"/>
  <c r="H589" i="1"/>
  <c r="G589" i="1"/>
  <c r="F589" i="1"/>
  <c r="E589" i="1"/>
  <c r="D589" i="1"/>
  <c r="AO588" i="1"/>
  <c r="AN588" i="1"/>
  <c r="AM588" i="1"/>
  <c r="AL588" i="1"/>
  <c r="AK588" i="1"/>
  <c r="AJ588" i="1"/>
  <c r="AI588" i="1"/>
  <c r="AG588" i="1"/>
  <c r="AE588" i="1"/>
  <c r="AD588" i="1"/>
  <c r="AB588" i="1"/>
  <c r="AA588" i="1"/>
  <c r="Z588" i="1"/>
  <c r="X588" i="1"/>
  <c r="W588" i="1"/>
  <c r="V588" i="1"/>
  <c r="S588" i="1"/>
  <c r="R588" i="1"/>
  <c r="Q588" i="1"/>
  <c r="O588" i="1"/>
  <c r="M588" i="1"/>
  <c r="L588" i="1"/>
  <c r="K588" i="1"/>
  <c r="J588" i="1"/>
  <c r="I588" i="1"/>
  <c r="H588" i="1"/>
  <c r="G588" i="1"/>
  <c r="F588" i="1"/>
  <c r="E588" i="1"/>
  <c r="D588" i="1"/>
  <c r="AO587" i="1"/>
  <c r="AN587" i="1"/>
  <c r="AM587" i="1"/>
  <c r="AL587" i="1"/>
  <c r="AK587" i="1"/>
  <c r="AJ587" i="1"/>
  <c r="AI587" i="1"/>
  <c r="AG587" i="1"/>
  <c r="AE587" i="1"/>
  <c r="AD587" i="1"/>
  <c r="AB587" i="1"/>
  <c r="AA587" i="1"/>
  <c r="Z587" i="1"/>
  <c r="X587" i="1"/>
  <c r="W587" i="1"/>
  <c r="V587" i="1"/>
  <c r="S587" i="1"/>
  <c r="R587" i="1"/>
  <c r="Q587" i="1"/>
  <c r="O587" i="1"/>
  <c r="M587" i="1"/>
  <c r="L587" i="1"/>
  <c r="K587" i="1"/>
  <c r="J587" i="1"/>
  <c r="I587" i="1"/>
  <c r="H587" i="1"/>
  <c r="G587" i="1"/>
  <c r="F587" i="1"/>
  <c r="E587" i="1"/>
  <c r="D587" i="1"/>
  <c r="AO586" i="1"/>
  <c r="AN586" i="1"/>
  <c r="AM586" i="1"/>
  <c r="AL586" i="1"/>
  <c r="AK586" i="1"/>
  <c r="AJ586" i="1"/>
  <c r="AI586" i="1"/>
  <c r="AG586" i="1"/>
  <c r="AE586" i="1"/>
  <c r="AD586" i="1"/>
  <c r="AB586" i="1"/>
  <c r="AA586" i="1"/>
  <c r="Z586" i="1"/>
  <c r="X586" i="1"/>
  <c r="W586" i="1"/>
  <c r="V586" i="1"/>
  <c r="S586" i="1"/>
  <c r="R586" i="1"/>
  <c r="Q586" i="1"/>
  <c r="O586" i="1"/>
  <c r="M586" i="1"/>
  <c r="L586" i="1"/>
  <c r="K586" i="1"/>
  <c r="J586" i="1"/>
  <c r="I586" i="1"/>
  <c r="H586" i="1"/>
  <c r="G586" i="1"/>
  <c r="F586" i="1"/>
  <c r="E586" i="1"/>
  <c r="D586" i="1"/>
  <c r="AO585" i="1"/>
  <c r="AN585" i="1"/>
  <c r="AM585" i="1"/>
  <c r="AL585" i="1"/>
  <c r="AK585" i="1"/>
  <c r="AJ585" i="1"/>
  <c r="AI585" i="1"/>
  <c r="AG585" i="1"/>
  <c r="AE585" i="1"/>
  <c r="AD585" i="1"/>
  <c r="AB585" i="1"/>
  <c r="AA585" i="1"/>
  <c r="Z585" i="1"/>
  <c r="X585" i="1"/>
  <c r="W585" i="1"/>
  <c r="V585" i="1"/>
  <c r="S585" i="1"/>
  <c r="R585" i="1"/>
  <c r="Q585" i="1"/>
  <c r="O585" i="1"/>
  <c r="M585" i="1"/>
  <c r="L585" i="1"/>
  <c r="K585" i="1"/>
  <c r="J585" i="1"/>
  <c r="I585" i="1"/>
  <c r="H585" i="1"/>
  <c r="G585" i="1"/>
  <c r="F585" i="1"/>
  <c r="E585" i="1"/>
  <c r="D585" i="1"/>
  <c r="AO584" i="1"/>
  <c r="AN584" i="1"/>
  <c r="AM584" i="1"/>
  <c r="AL584" i="1"/>
  <c r="AK584" i="1"/>
  <c r="AJ584" i="1"/>
  <c r="AI584" i="1"/>
  <c r="AG584" i="1"/>
  <c r="AE584" i="1"/>
  <c r="AD584" i="1"/>
  <c r="AB584" i="1"/>
  <c r="AA584" i="1"/>
  <c r="Z584" i="1"/>
  <c r="X584" i="1"/>
  <c r="W584" i="1"/>
  <c r="V584" i="1"/>
  <c r="S584" i="1"/>
  <c r="R584" i="1"/>
  <c r="Q584" i="1"/>
  <c r="O584" i="1"/>
  <c r="M584" i="1"/>
  <c r="L584" i="1"/>
  <c r="K584" i="1"/>
  <c r="J584" i="1"/>
  <c r="I584" i="1"/>
  <c r="H584" i="1"/>
  <c r="G584" i="1"/>
  <c r="F584" i="1"/>
  <c r="E584" i="1"/>
  <c r="D584" i="1"/>
  <c r="AO583" i="1"/>
  <c r="AN583" i="1"/>
  <c r="AM583" i="1"/>
  <c r="AL583" i="1"/>
  <c r="AK583" i="1"/>
  <c r="AJ583" i="1"/>
  <c r="AI583" i="1"/>
  <c r="AG583" i="1"/>
  <c r="AE583" i="1"/>
  <c r="AD583" i="1"/>
  <c r="AB583" i="1"/>
  <c r="AA583" i="1"/>
  <c r="Z583" i="1"/>
  <c r="X583" i="1"/>
  <c r="W583" i="1"/>
  <c r="V583" i="1"/>
  <c r="S583" i="1"/>
  <c r="R583" i="1"/>
  <c r="Q583" i="1"/>
  <c r="O583" i="1"/>
  <c r="M583" i="1"/>
  <c r="L583" i="1"/>
  <c r="K583" i="1"/>
  <c r="J583" i="1"/>
  <c r="I583" i="1"/>
  <c r="H583" i="1"/>
  <c r="G583" i="1"/>
  <c r="F583" i="1"/>
  <c r="E583" i="1"/>
  <c r="D583" i="1"/>
  <c r="AO582" i="1"/>
  <c r="AN582" i="1"/>
  <c r="AM582" i="1"/>
  <c r="AL582" i="1"/>
  <c r="AK582" i="1"/>
  <c r="AJ582" i="1"/>
  <c r="AI582" i="1"/>
  <c r="AG582" i="1"/>
  <c r="AE582" i="1"/>
  <c r="AD582" i="1"/>
  <c r="AB582" i="1"/>
  <c r="AA582" i="1"/>
  <c r="Z582" i="1"/>
  <c r="X582" i="1"/>
  <c r="W582" i="1"/>
  <c r="V582" i="1"/>
  <c r="S582" i="1"/>
  <c r="R582" i="1"/>
  <c r="Q582" i="1"/>
  <c r="O582" i="1"/>
  <c r="M582" i="1"/>
  <c r="L582" i="1"/>
  <c r="K582" i="1"/>
  <c r="J582" i="1"/>
  <c r="I582" i="1"/>
  <c r="H582" i="1"/>
  <c r="G582" i="1"/>
  <c r="F582" i="1"/>
  <c r="E582" i="1"/>
  <c r="D582" i="1"/>
  <c r="AO581" i="1"/>
  <c r="AN581" i="1"/>
  <c r="AM581" i="1"/>
  <c r="AL581" i="1"/>
  <c r="AK581" i="1"/>
  <c r="AJ581" i="1"/>
  <c r="AI581" i="1"/>
  <c r="AG581" i="1"/>
  <c r="AE581" i="1"/>
  <c r="AD581" i="1"/>
  <c r="AB581" i="1"/>
  <c r="AA581" i="1"/>
  <c r="Z581" i="1"/>
  <c r="X581" i="1"/>
  <c r="W581" i="1"/>
  <c r="V581" i="1"/>
  <c r="S581" i="1"/>
  <c r="R581" i="1"/>
  <c r="Q581" i="1"/>
  <c r="O581" i="1"/>
  <c r="M581" i="1"/>
  <c r="L581" i="1"/>
  <c r="K581" i="1"/>
  <c r="J581" i="1"/>
  <c r="I581" i="1"/>
  <c r="H581" i="1"/>
  <c r="G581" i="1"/>
  <c r="F581" i="1"/>
  <c r="E581" i="1"/>
  <c r="D581" i="1"/>
  <c r="AO580" i="1"/>
  <c r="AN580" i="1"/>
  <c r="AM580" i="1"/>
  <c r="AL580" i="1"/>
  <c r="AK580" i="1"/>
  <c r="AJ580" i="1"/>
  <c r="AI580" i="1"/>
  <c r="AG580" i="1"/>
  <c r="AE580" i="1"/>
  <c r="AD580" i="1"/>
  <c r="AB580" i="1"/>
  <c r="AA580" i="1"/>
  <c r="Z580" i="1"/>
  <c r="X580" i="1"/>
  <c r="W580" i="1"/>
  <c r="V580" i="1"/>
  <c r="S580" i="1"/>
  <c r="R580" i="1"/>
  <c r="Q580" i="1"/>
  <c r="O580" i="1"/>
  <c r="M580" i="1"/>
  <c r="L580" i="1"/>
  <c r="K580" i="1"/>
  <c r="J580" i="1"/>
  <c r="I580" i="1"/>
  <c r="H580" i="1"/>
  <c r="G580" i="1"/>
  <c r="F580" i="1"/>
  <c r="E580" i="1"/>
  <c r="D580" i="1"/>
  <c r="AO579" i="1"/>
  <c r="AN579" i="1"/>
  <c r="AM579" i="1"/>
  <c r="AL579" i="1"/>
  <c r="AK579" i="1"/>
  <c r="AJ579" i="1"/>
  <c r="AI579" i="1"/>
  <c r="AG579" i="1"/>
  <c r="AE579" i="1"/>
  <c r="AD579" i="1"/>
  <c r="AB579" i="1"/>
  <c r="AA579" i="1"/>
  <c r="Z579" i="1"/>
  <c r="X579" i="1"/>
  <c r="W579" i="1"/>
  <c r="V579" i="1"/>
  <c r="S579" i="1"/>
  <c r="R579" i="1"/>
  <c r="Q579" i="1"/>
  <c r="O579" i="1"/>
  <c r="M579" i="1"/>
  <c r="L579" i="1"/>
  <c r="K579" i="1"/>
  <c r="J579" i="1"/>
  <c r="I579" i="1"/>
  <c r="H579" i="1"/>
  <c r="G579" i="1"/>
  <c r="F579" i="1"/>
  <c r="E579" i="1"/>
  <c r="D579" i="1"/>
  <c r="AO578" i="1"/>
  <c r="AN578" i="1"/>
  <c r="AM578" i="1"/>
  <c r="AL578" i="1"/>
  <c r="AK578" i="1"/>
  <c r="AJ578" i="1"/>
  <c r="AI578" i="1"/>
  <c r="AG578" i="1"/>
  <c r="AE578" i="1"/>
  <c r="AD578" i="1"/>
  <c r="AB578" i="1"/>
  <c r="AA578" i="1"/>
  <c r="Z578" i="1"/>
  <c r="X578" i="1"/>
  <c r="W578" i="1"/>
  <c r="V578" i="1"/>
  <c r="S578" i="1"/>
  <c r="R578" i="1"/>
  <c r="Q578" i="1"/>
  <c r="O578" i="1"/>
  <c r="M578" i="1"/>
  <c r="L578" i="1"/>
  <c r="K578" i="1"/>
  <c r="J578" i="1"/>
  <c r="I578" i="1"/>
  <c r="H578" i="1"/>
  <c r="G578" i="1"/>
  <c r="F578" i="1"/>
  <c r="E578" i="1"/>
  <c r="D578" i="1"/>
  <c r="AO577" i="1"/>
  <c r="AN577" i="1"/>
  <c r="AM577" i="1"/>
  <c r="AL577" i="1"/>
  <c r="AK577" i="1"/>
  <c r="AJ577" i="1"/>
  <c r="AI577" i="1"/>
  <c r="AG577" i="1"/>
  <c r="AE577" i="1"/>
  <c r="AD577" i="1"/>
  <c r="AB577" i="1"/>
  <c r="AA577" i="1"/>
  <c r="Z577" i="1"/>
  <c r="X577" i="1"/>
  <c r="W577" i="1"/>
  <c r="V577" i="1"/>
  <c r="S577" i="1"/>
  <c r="R577" i="1"/>
  <c r="Q577" i="1"/>
  <c r="O577" i="1"/>
  <c r="M577" i="1"/>
  <c r="L577" i="1"/>
  <c r="K577" i="1"/>
  <c r="J577" i="1"/>
  <c r="I577" i="1"/>
  <c r="H577" i="1"/>
  <c r="G577" i="1"/>
  <c r="F577" i="1"/>
  <c r="E577" i="1"/>
  <c r="D577" i="1"/>
  <c r="AO576" i="1"/>
  <c r="AN576" i="1"/>
  <c r="AM576" i="1"/>
  <c r="AL576" i="1"/>
  <c r="AK576" i="1"/>
  <c r="AJ576" i="1"/>
  <c r="AI576" i="1"/>
  <c r="AG576" i="1"/>
  <c r="AE576" i="1"/>
  <c r="AD576" i="1"/>
  <c r="AB576" i="1"/>
  <c r="AA576" i="1"/>
  <c r="Z576" i="1"/>
  <c r="X576" i="1"/>
  <c r="W576" i="1"/>
  <c r="V576" i="1"/>
  <c r="S576" i="1"/>
  <c r="R576" i="1"/>
  <c r="Q576" i="1"/>
  <c r="O576" i="1"/>
  <c r="M576" i="1"/>
  <c r="L576" i="1"/>
  <c r="K576" i="1"/>
  <c r="J576" i="1"/>
  <c r="I576" i="1"/>
  <c r="H576" i="1"/>
  <c r="G576" i="1"/>
  <c r="F576" i="1"/>
  <c r="E576" i="1"/>
  <c r="D576" i="1"/>
  <c r="AO575" i="1"/>
  <c r="AN575" i="1"/>
  <c r="AM575" i="1"/>
  <c r="AL575" i="1"/>
  <c r="AK575" i="1"/>
  <c r="AJ575" i="1"/>
  <c r="AI575" i="1"/>
  <c r="AG575" i="1"/>
  <c r="AE575" i="1"/>
  <c r="AD575" i="1"/>
  <c r="AB575" i="1"/>
  <c r="AA575" i="1"/>
  <c r="Z575" i="1"/>
  <c r="X575" i="1"/>
  <c r="W575" i="1"/>
  <c r="V575" i="1"/>
  <c r="S575" i="1"/>
  <c r="R575" i="1"/>
  <c r="Q575" i="1"/>
  <c r="O575" i="1"/>
  <c r="M575" i="1"/>
  <c r="L575" i="1"/>
  <c r="K575" i="1"/>
  <c r="J575" i="1"/>
  <c r="I575" i="1"/>
  <c r="H575" i="1"/>
  <c r="G575" i="1"/>
  <c r="F575" i="1"/>
  <c r="E575" i="1"/>
  <c r="D575" i="1"/>
  <c r="AO574" i="1"/>
  <c r="AN574" i="1"/>
  <c r="AM574" i="1"/>
  <c r="AL574" i="1"/>
  <c r="AK574" i="1"/>
  <c r="AJ574" i="1"/>
  <c r="AI574" i="1"/>
  <c r="AG574" i="1"/>
  <c r="AE574" i="1"/>
  <c r="AD574" i="1"/>
  <c r="AB574" i="1"/>
  <c r="AA574" i="1"/>
  <c r="Z574" i="1"/>
  <c r="X574" i="1"/>
  <c r="W574" i="1"/>
  <c r="V574" i="1"/>
  <c r="S574" i="1"/>
  <c r="R574" i="1"/>
  <c r="Q574" i="1"/>
  <c r="O574" i="1"/>
  <c r="M574" i="1"/>
  <c r="L574" i="1"/>
  <c r="K574" i="1"/>
  <c r="J574" i="1"/>
  <c r="I574" i="1"/>
  <c r="H574" i="1"/>
  <c r="G574" i="1"/>
  <c r="F574" i="1"/>
  <c r="E574" i="1"/>
  <c r="D574" i="1"/>
  <c r="AO573" i="1"/>
  <c r="AN573" i="1"/>
  <c r="AM573" i="1"/>
  <c r="AL573" i="1"/>
  <c r="AK573" i="1"/>
  <c r="AJ573" i="1"/>
  <c r="AI573" i="1"/>
  <c r="AG573" i="1"/>
  <c r="AE573" i="1"/>
  <c r="AD573" i="1"/>
  <c r="AB573" i="1"/>
  <c r="AA573" i="1"/>
  <c r="Z573" i="1"/>
  <c r="X573" i="1"/>
  <c r="W573" i="1"/>
  <c r="V573" i="1"/>
  <c r="S573" i="1"/>
  <c r="R573" i="1"/>
  <c r="Q573" i="1"/>
  <c r="O573" i="1"/>
  <c r="M573" i="1"/>
  <c r="L573" i="1"/>
  <c r="K573" i="1"/>
  <c r="J573" i="1"/>
  <c r="I573" i="1"/>
  <c r="H573" i="1"/>
  <c r="G573" i="1"/>
  <c r="F573" i="1"/>
  <c r="E573" i="1"/>
  <c r="D573" i="1"/>
  <c r="AO572" i="1"/>
  <c r="AN572" i="1"/>
  <c r="AM572" i="1"/>
  <c r="AL572" i="1"/>
  <c r="AK572" i="1"/>
  <c r="AJ572" i="1"/>
  <c r="AI572" i="1"/>
  <c r="AG572" i="1"/>
  <c r="AE572" i="1"/>
  <c r="AD572" i="1"/>
  <c r="AB572" i="1"/>
  <c r="AA572" i="1"/>
  <c r="Z572" i="1"/>
  <c r="X572" i="1"/>
  <c r="W572" i="1"/>
  <c r="V572" i="1"/>
  <c r="S572" i="1"/>
  <c r="R572" i="1"/>
  <c r="Q572" i="1"/>
  <c r="O572" i="1"/>
  <c r="M572" i="1"/>
  <c r="L572" i="1"/>
  <c r="K572" i="1"/>
  <c r="J572" i="1"/>
  <c r="I572" i="1"/>
  <c r="H572" i="1"/>
  <c r="G572" i="1"/>
  <c r="F572" i="1"/>
  <c r="E572" i="1"/>
  <c r="D572" i="1"/>
  <c r="AO571" i="1"/>
  <c r="AN571" i="1"/>
  <c r="AM571" i="1"/>
  <c r="AL571" i="1"/>
  <c r="AK571" i="1"/>
  <c r="AJ571" i="1"/>
  <c r="AI571" i="1"/>
  <c r="AG571" i="1"/>
  <c r="AE571" i="1"/>
  <c r="AD571" i="1"/>
  <c r="AB571" i="1"/>
  <c r="AA571" i="1"/>
  <c r="Z571" i="1"/>
  <c r="X571" i="1"/>
  <c r="W571" i="1"/>
  <c r="V571" i="1"/>
  <c r="S571" i="1"/>
  <c r="R571" i="1"/>
  <c r="Q571" i="1"/>
  <c r="O571" i="1"/>
  <c r="M571" i="1"/>
  <c r="L571" i="1"/>
  <c r="K571" i="1"/>
  <c r="J571" i="1"/>
  <c r="I571" i="1"/>
  <c r="H571" i="1"/>
  <c r="G571" i="1"/>
  <c r="F571" i="1"/>
  <c r="E571" i="1"/>
  <c r="D571" i="1"/>
  <c r="AO570" i="1"/>
  <c r="AN570" i="1"/>
  <c r="AM570" i="1"/>
  <c r="AL570" i="1"/>
  <c r="AK570" i="1"/>
  <c r="AJ570" i="1"/>
  <c r="AI570" i="1"/>
  <c r="AG570" i="1"/>
  <c r="AE570" i="1"/>
  <c r="AD570" i="1"/>
  <c r="AB570" i="1"/>
  <c r="AA570" i="1"/>
  <c r="Z570" i="1"/>
  <c r="X570" i="1"/>
  <c r="W570" i="1"/>
  <c r="V570" i="1"/>
  <c r="S570" i="1"/>
  <c r="R570" i="1"/>
  <c r="Q570" i="1"/>
  <c r="O570" i="1"/>
  <c r="M570" i="1"/>
  <c r="L570" i="1"/>
  <c r="K570" i="1"/>
  <c r="J570" i="1"/>
  <c r="I570" i="1"/>
  <c r="H570" i="1"/>
  <c r="G570" i="1"/>
  <c r="F570" i="1"/>
  <c r="E570" i="1"/>
  <c r="D570" i="1"/>
  <c r="AO569" i="1"/>
  <c r="AN569" i="1"/>
  <c r="AM569" i="1"/>
  <c r="AL569" i="1"/>
  <c r="AK569" i="1"/>
  <c r="AJ569" i="1"/>
  <c r="AI569" i="1"/>
  <c r="AG569" i="1"/>
  <c r="AE569" i="1"/>
  <c r="AD569" i="1"/>
  <c r="AB569" i="1"/>
  <c r="AA569" i="1"/>
  <c r="Z569" i="1"/>
  <c r="X569" i="1"/>
  <c r="W569" i="1"/>
  <c r="V569" i="1"/>
  <c r="S569" i="1"/>
  <c r="R569" i="1"/>
  <c r="Q569" i="1"/>
  <c r="O569" i="1"/>
  <c r="M569" i="1"/>
  <c r="L569" i="1"/>
  <c r="K569" i="1"/>
  <c r="J569" i="1"/>
  <c r="I569" i="1"/>
  <c r="H569" i="1"/>
  <c r="G569" i="1"/>
  <c r="F569" i="1"/>
  <c r="E569" i="1"/>
  <c r="D569" i="1"/>
  <c r="AO568" i="1"/>
  <c r="AN568" i="1"/>
  <c r="AM568" i="1"/>
  <c r="AL568" i="1"/>
  <c r="AK568" i="1"/>
  <c r="AJ568" i="1"/>
  <c r="AI568" i="1"/>
  <c r="AG568" i="1"/>
  <c r="AE568" i="1"/>
  <c r="AD568" i="1"/>
  <c r="AB568" i="1"/>
  <c r="AA568" i="1"/>
  <c r="Z568" i="1"/>
  <c r="X568" i="1"/>
  <c r="W568" i="1"/>
  <c r="V568" i="1"/>
  <c r="S568" i="1"/>
  <c r="R568" i="1"/>
  <c r="Q568" i="1"/>
  <c r="O568" i="1"/>
  <c r="M568" i="1"/>
  <c r="L568" i="1"/>
  <c r="K568" i="1"/>
  <c r="J568" i="1"/>
  <c r="I568" i="1"/>
  <c r="H568" i="1"/>
  <c r="G568" i="1"/>
  <c r="F568" i="1"/>
  <c r="E568" i="1"/>
  <c r="D568" i="1"/>
  <c r="AO567" i="1"/>
  <c r="AN567" i="1"/>
  <c r="AM567" i="1"/>
  <c r="AL567" i="1"/>
  <c r="AK567" i="1"/>
  <c r="AJ567" i="1"/>
  <c r="AI567" i="1"/>
  <c r="AG567" i="1"/>
  <c r="AE567" i="1"/>
  <c r="AD567" i="1"/>
  <c r="AB567" i="1"/>
  <c r="AA567" i="1"/>
  <c r="Z567" i="1"/>
  <c r="X567" i="1"/>
  <c r="W567" i="1"/>
  <c r="V567" i="1"/>
  <c r="S567" i="1"/>
  <c r="R567" i="1"/>
  <c r="Q567" i="1"/>
  <c r="O567" i="1"/>
  <c r="M567" i="1"/>
  <c r="L567" i="1"/>
  <c r="K567" i="1"/>
  <c r="J567" i="1"/>
  <c r="I567" i="1"/>
  <c r="H567" i="1"/>
  <c r="G567" i="1"/>
  <c r="F567" i="1"/>
  <c r="E567" i="1"/>
  <c r="D567" i="1"/>
  <c r="AO566" i="1"/>
  <c r="AN566" i="1"/>
  <c r="AM566" i="1"/>
  <c r="AL566" i="1"/>
  <c r="AK566" i="1"/>
  <c r="AJ566" i="1"/>
  <c r="AI566" i="1"/>
  <c r="AG566" i="1"/>
  <c r="AE566" i="1"/>
  <c r="AD566" i="1"/>
  <c r="AB566" i="1"/>
  <c r="AA566" i="1"/>
  <c r="Z566" i="1"/>
  <c r="X566" i="1"/>
  <c r="W566" i="1"/>
  <c r="V566" i="1"/>
  <c r="S566" i="1"/>
  <c r="R566" i="1"/>
  <c r="Q566" i="1"/>
  <c r="O566" i="1"/>
  <c r="M566" i="1"/>
  <c r="L566" i="1"/>
  <c r="K566" i="1"/>
  <c r="J566" i="1"/>
  <c r="I566" i="1"/>
  <c r="H566" i="1"/>
  <c r="G566" i="1"/>
  <c r="F566" i="1"/>
  <c r="E566" i="1"/>
  <c r="D566" i="1"/>
  <c r="AO565" i="1"/>
  <c r="AN565" i="1"/>
  <c r="AM565" i="1"/>
  <c r="AL565" i="1"/>
  <c r="AK565" i="1"/>
  <c r="AJ565" i="1"/>
  <c r="AI565" i="1"/>
  <c r="AG565" i="1"/>
  <c r="AE565" i="1"/>
  <c r="AD565" i="1"/>
  <c r="AB565" i="1"/>
  <c r="AA565" i="1"/>
  <c r="Z565" i="1"/>
  <c r="X565" i="1"/>
  <c r="W565" i="1"/>
  <c r="V565" i="1"/>
  <c r="S565" i="1"/>
  <c r="R565" i="1"/>
  <c r="Q565" i="1"/>
  <c r="O565" i="1"/>
  <c r="M565" i="1"/>
  <c r="L565" i="1"/>
  <c r="K565" i="1"/>
  <c r="J565" i="1"/>
  <c r="I565" i="1"/>
  <c r="H565" i="1"/>
  <c r="G565" i="1"/>
  <c r="F565" i="1"/>
  <c r="E565" i="1"/>
  <c r="D565" i="1"/>
  <c r="AO564" i="1"/>
  <c r="AN564" i="1"/>
  <c r="AM564" i="1"/>
  <c r="AL564" i="1"/>
  <c r="AK564" i="1"/>
  <c r="AJ564" i="1"/>
  <c r="AI564" i="1"/>
  <c r="AG564" i="1"/>
  <c r="AE564" i="1"/>
  <c r="AD564" i="1"/>
  <c r="AB564" i="1"/>
  <c r="AA564" i="1"/>
  <c r="Z564" i="1"/>
  <c r="X564" i="1"/>
  <c r="W564" i="1"/>
  <c r="V564" i="1"/>
  <c r="S564" i="1"/>
  <c r="R564" i="1"/>
  <c r="Q564" i="1"/>
  <c r="O564" i="1"/>
  <c r="M564" i="1"/>
  <c r="L564" i="1"/>
  <c r="K564" i="1"/>
  <c r="J564" i="1"/>
  <c r="I564" i="1"/>
  <c r="H564" i="1"/>
  <c r="G564" i="1"/>
  <c r="F564" i="1"/>
  <c r="E564" i="1"/>
  <c r="D564" i="1"/>
  <c r="AO563" i="1"/>
  <c r="AN563" i="1"/>
  <c r="AM563" i="1"/>
  <c r="AL563" i="1"/>
  <c r="AK563" i="1"/>
  <c r="AJ563" i="1"/>
  <c r="AI563" i="1"/>
  <c r="AG563" i="1"/>
  <c r="AE563" i="1"/>
  <c r="AD563" i="1"/>
  <c r="AB563" i="1"/>
  <c r="AA563" i="1"/>
  <c r="Z563" i="1"/>
  <c r="X563" i="1"/>
  <c r="W563" i="1"/>
  <c r="V563" i="1"/>
  <c r="S563" i="1"/>
  <c r="R563" i="1"/>
  <c r="Q563" i="1"/>
  <c r="O563" i="1"/>
  <c r="M563" i="1"/>
  <c r="L563" i="1"/>
  <c r="K563" i="1"/>
  <c r="J563" i="1"/>
  <c r="I563" i="1"/>
  <c r="H563" i="1"/>
  <c r="G563" i="1"/>
  <c r="F563" i="1"/>
  <c r="E563" i="1"/>
  <c r="D563" i="1"/>
  <c r="AO562" i="1"/>
  <c r="AN562" i="1"/>
  <c r="AM562" i="1"/>
  <c r="AL562" i="1"/>
  <c r="AK562" i="1"/>
  <c r="AJ562" i="1"/>
  <c r="AI562" i="1"/>
  <c r="AG562" i="1"/>
  <c r="AE562" i="1"/>
  <c r="AD562" i="1"/>
  <c r="AB562" i="1"/>
  <c r="AA562" i="1"/>
  <c r="Z562" i="1"/>
  <c r="X562" i="1"/>
  <c r="W562" i="1"/>
  <c r="V562" i="1"/>
  <c r="S562" i="1"/>
  <c r="R562" i="1"/>
  <c r="Q562" i="1"/>
  <c r="O562" i="1"/>
  <c r="M562" i="1"/>
  <c r="L562" i="1"/>
  <c r="K562" i="1"/>
  <c r="J562" i="1"/>
  <c r="I562" i="1"/>
  <c r="H562" i="1"/>
  <c r="G562" i="1"/>
  <c r="F562" i="1"/>
  <c r="E562" i="1"/>
  <c r="D562" i="1"/>
  <c r="AO561" i="1"/>
  <c r="AN561" i="1"/>
  <c r="AM561" i="1"/>
  <c r="AL561" i="1"/>
  <c r="AK561" i="1"/>
  <c r="AJ561" i="1"/>
  <c r="AI561" i="1"/>
  <c r="AG561" i="1"/>
  <c r="AE561" i="1"/>
  <c r="AD561" i="1"/>
  <c r="AB561" i="1"/>
  <c r="AA561" i="1"/>
  <c r="Z561" i="1"/>
  <c r="X561" i="1"/>
  <c r="W561" i="1"/>
  <c r="V561" i="1"/>
  <c r="S561" i="1"/>
  <c r="R561" i="1"/>
  <c r="Q561" i="1"/>
  <c r="O561" i="1"/>
  <c r="M561" i="1"/>
  <c r="L561" i="1"/>
  <c r="K561" i="1"/>
  <c r="J561" i="1"/>
  <c r="I561" i="1"/>
  <c r="H561" i="1"/>
  <c r="G561" i="1"/>
  <c r="F561" i="1"/>
  <c r="E561" i="1"/>
  <c r="D561" i="1"/>
  <c r="AO560" i="1"/>
  <c r="AN560" i="1"/>
  <c r="AM560" i="1"/>
  <c r="AL560" i="1"/>
  <c r="AK560" i="1"/>
  <c r="AJ560" i="1"/>
  <c r="AI560" i="1"/>
  <c r="AG560" i="1"/>
  <c r="AE560" i="1"/>
  <c r="AD560" i="1"/>
  <c r="AB560" i="1"/>
  <c r="AA560" i="1"/>
  <c r="Z560" i="1"/>
  <c r="X560" i="1"/>
  <c r="W560" i="1"/>
  <c r="V560" i="1"/>
  <c r="S560" i="1"/>
  <c r="R560" i="1"/>
  <c r="Q560" i="1"/>
  <c r="O560" i="1"/>
  <c r="M560" i="1"/>
  <c r="L560" i="1"/>
  <c r="K560" i="1"/>
  <c r="J560" i="1"/>
  <c r="I560" i="1"/>
  <c r="H560" i="1"/>
  <c r="G560" i="1"/>
  <c r="F560" i="1"/>
  <c r="E560" i="1"/>
  <c r="D560" i="1"/>
  <c r="AO559" i="1"/>
  <c r="AN559" i="1"/>
  <c r="AM559" i="1"/>
  <c r="AL559" i="1"/>
  <c r="AK559" i="1"/>
  <c r="AJ559" i="1"/>
  <c r="AI559" i="1"/>
  <c r="AG559" i="1"/>
  <c r="AE559" i="1"/>
  <c r="AD559" i="1"/>
  <c r="AB559" i="1"/>
  <c r="AA559" i="1"/>
  <c r="Z559" i="1"/>
  <c r="X559" i="1"/>
  <c r="W559" i="1"/>
  <c r="V559" i="1"/>
  <c r="S559" i="1"/>
  <c r="R559" i="1"/>
  <c r="Q559" i="1"/>
  <c r="O559" i="1"/>
  <c r="M559" i="1"/>
  <c r="L559" i="1"/>
  <c r="K559" i="1"/>
  <c r="J559" i="1"/>
  <c r="I559" i="1"/>
  <c r="H559" i="1"/>
  <c r="G559" i="1"/>
  <c r="F559" i="1"/>
  <c r="E559" i="1"/>
  <c r="D559" i="1"/>
  <c r="AO558" i="1"/>
  <c r="AN558" i="1"/>
  <c r="AM558" i="1"/>
  <c r="AL558" i="1"/>
  <c r="AK558" i="1"/>
  <c r="AJ558" i="1"/>
  <c r="AI558" i="1"/>
  <c r="AG558" i="1"/>
  <c r="AE558" i="1"/>
  <c r="AD558" i="1"/>
  <c r="AB558" i="1"/>
  <c r="AA558" i="1"/>
  <c r="Z558" i="1"/>
  <c r="X558" i="1"/>
  <c r="W558" i="1"/>
  <c r="V558" i="1"/>
  <c r="S558" i="1"/>
  <c r="R558" i="1"/>
  <c r="Q558" i="1"/>
  <c r="O558" i="1"/>
  <c r="M558" i="1"/>
  <c r="L558" i="1"/>
  <c r="K558" i="1"/>
  <c r="J558" i="1"/>
  <c r="I558" i="1"/>
  <c r="H558" i="1"/>
  <c r="G558" i="1"/>
  <c r="F558" i="1"/>
  <c r="E558" i="1"/>
  <c r="D558" i="1"/>
  <c r="AO557" i="1"/>
  <c r="AN557" i="1"/>
  <c r="AM557" i="1"/>
  <c r="AL557" i="1"/>
  <c r="AK557" i="1"/>
  <c r="AJ557" i="1"/>
  <c r="AI557" i="1"/>
  <c r="AG557" i="1"/>
  <c r="AE557" i="1"/>
  <c r="AD557" i="1"/>
  <c r="AB557" i="1"/>
  <c r="AA557" i="1"/>
  <c r="Z557" i="1"/>
  <c r="X557" i="1"/>
  <c r="W557" i="1"/>
  <c r="V557" i="1"/>
  <c r="S557" i="1"/>
  <c r="R557" i="1"/>
  <c r="Q557" i="1"/>
  <c r="O557" i="1"/>
  <c r="M557" i="1"/>
  <c r="L557" i="1"/>
  <c r="K557" i="1"/>
  <c r="J557" i="1"/>
  <c r="I557" i="1"/>
  <c r="H557" i="1"/>
  <c r="G557" i="1"/>
  <c r="F557" i="1"/>
  <c r="E557" i="1"/>
  <c r="D557" i="1"/>
  <c r="AO556" i="1"/>
  <c r="AN556" i="1"/>
  <c r="AM556" i="1"/>
  <c r="AL556" i="1"/>
  <c r="AK556" i="1"/>
  <c r="AJ556" i="1"/>
  <c r="AI556" i="1"/>
  <c r="AG556" i="1"/>
  <c r="AE556" i="1"/>
  <c r="AD556" i="1"/>
  <c r="AB556" i="1"/>
  <c r="AA556" i="1"/>
  <c r="Z556" i="1"/>
  <c r="X556" i="1"/>
  <c r="W556" i="1"/>
  <c r="V556" i="1"/>
  <c r="S556" i="1"/>
  <c r="R556" i="1"/>
  <c r="Q556" i="1"/>
  <c r="O556" i="1"/>
  <c r="M556" i="1"/>
  <c r="L556" i="1"/>
  <c r="K556" i="1"/>
  <c r="J556" i="1"/>
  <c r="I556" i="1"/>
  <c r="H556" i="1"/>
  <c r="G556" i="1"/>
  <c r="F556" i="1"/>
  <c r="E556" i="1"/>
  <c r="D556" i="1"/>
  <c r="AO555" i="1"/>
  <c r="AN555" i="1"/>
  <c r="AM555" i="1"/>
  <c r="AL555" i="1"/>
  <c r="AK555" i="1"/>
  <c r="AJ555" i="1"/>
  <c r="AI555" i="1"/>
  <c r="AG555" i="1"/>
  <c r="AE555" i="1"/>
  <c r="AD555" i="1"/>
  <c r="AB555" i="1"/>
  <c r="AA555" i="1"/>
  <c r="Z555" i="1"/>
  <c r="X555" i="1"/>
  <c r="W555" i="1"/>
  <c r="V555" i="1"/>
  <c r="S555" i="1"/>
  <c r="R555" i="1"/>
  <c r="Q555" i="1"/>
  <c r="O555" i="1"/>
  <c r="M555" i="1"/>
  <c r="L555" i="1"/>
  <c r="K555" i="1"/>
  <c r="J555" i="1"/>
  <c r="I555" i="1"/>
  <c r="H555" i="1"/>
  <c r="G555" i="1"/>
  <c r="F555" i="1"/>
  <c r="E555" i="1"/>
  <c r="D555" i="1"/>
  <c r="AO554" i="1"/>
  <c r="AN554" i="1"/>
  <c r="AM554" i="1"/>
  <c r="AL554" i="1"/>
  <c r="AK554" i="1"/>
  <c r="AJ554" i="1"/>
  <c r="AI554" i="1"/>
  <c r="AG554" i="1"/>
  <c r="AE554" i="1"/>
  <c r="AD554" i="1"/>
  <c r="AB554" i="1"/>
  <c r="AA554" i="1"/>
  <c r="Z554" i="1"/>
  <c r="X554" i="1"/>
  <c r="W554" i="1"/>
  <c r="V554" i="1"/>
  <c r="S554" i="1"/>
  <c r="R554" i="1"/>
  <c r="Q554" i="1"/>
  <c r="O554" i="1"/>
  <c r="M554" i="1"/>
  <c r="L554" i="1"/>
  <c r="K554" i="1"/>
  <c r="J554" i="1"/>
  <c r="I554" i="1"/>
  <c r="H554" i="1"/>
  <c r="G554" i="1"/>
  <c r="F554" i="1"/>
  <c r="E554" i="1"/>
  <c r="D554" i="1"/>
  <c r="AO553" i="1"/>
  <c r="AN553" i="1"/>
  <c r="AM553" i="1"/>
  <c r="AL553" i="1"/>
  <c r="AK553" i="1"/>
  <c r="AJ553" i="1"/>
  <c r="AI553" i="1"/>
  <c r="AG553" i="1"/>
  <c r="AE553" i="1"/>
  <c r="AD553" i="1"/>
  <c r="AB553" i="1"/>
  <c r="AA553" i="1"/>
  <c r="Z553" i="1"/>
  <c r="X553" i="1"/>
  <c r="W553" i="1"/>
  <c r="V553" i="1"/>
  <c r="S553" i="1"/>
  <c r="R553" i="1"/>
  <c r="Q553" i="1"/>
  <c r="O553" i="1"/>
  <c r="M553" i="1"/>
  <c r="L553" i="1"/>
  <c r="K553" i="1"/>
  <c r="J553" i="1"/>
  <c r="I553" i="1"/>
  <c r="H553" i="1"/>
  <c r="G553" i="1"/>
  <c r="F553" i="1"/>
  <c r="E553" i="1"/>
  <c r="D553" i="1"/>
  <c r="AO552" i="1"/>
  <c r="AN552" i="1"/>
  <c r="AM552" i="1"/>
  <c r="AL552" i="1"/>
  <c r="AK552" i="1"/>
  <c r="AJ552" i="1"/>
  <c r="AI552" i="1"/>
  <c r="AG552" i="1"/>
  <c r="AE552" i="1"/>
  <c r="AD552" i="1"/>
  <c r="AB552" i="1"/>
  <c r="AA552" i="1"/>
  <c r="Z552" i="1"/>
  <c r="X552" i="1"/>
  <c r="W552" i="1"/>
  <c r="V552" i="1"/>
  <c r="S552" i="1"/>
  <c r="R552" i="1"/>
  <c r="Q552" i="1"/>
  <c r="O552" i="1"/>
  <c r="M552" i="1"/>
  <c r="L552" i="1"/>
  <c r="K552" i="1"/>
  <c r="J552" i="1"/>
  <c r="I552" i="1"/>
  <c r="H552" i="1"/>
  <c r="G552" i="1"/>
  <c r="F552" i="1"/>
  <c r="E552" i="1"/>
  <c r="D552" i="1"/>
  <c r="AO551" i="1"/>
  <c r="AN551" i="1"/>
  <c r="AM551" i="1"/>
  <c r="AL551" i="1"/>
  <c r="AK551" i="1"/>
  <c r="AJ551" i="1"/>
  <c r="AI551" i="1"/>
  <c r="AG551" i="1"/>
  <c r="AE551" i="1"/>
  <c r="AD551" i="1"/>
  <c r="AB551" i="1"/>
  <c r="AA551" i="1"/>
  <c r="Z551" i="1"/>
  <c r="X551" i="1"/>
  <c r="W551" i="1"/>
  <c r="V551" i="1"/>
  <c r="S551" i="1"/>
  <c r="R551" i="1"/>
  <c r="Q551" i="1"/>
  <c r="O551" i="1"/>
  <c r="M551" i="1"/>
  <c r="L551" i="1"/>
  <c r="K551" i="1"/>
  <c r="J551" i="1"/>
  <c r="I551" i="1"/>
  <c r="H551" i="1"/>
  <c r="G551" i="1"/>
  <c r="F551" i="1"/>
  <c r="E551" i="1"/>
  <c r="D551" i="1"/>
  <c r="AO550" i="1"/>
  <c r="AN550" i="1"/>
  <c r="AM550" i="1"/>
  <c r="AL550" i="1"/>
  <c r="AK550" i="1"/>
  <c r="AJ550" i="1"/>
  <c r="AI550" i="1"/>
  <c r="AG550" i="1"/>
  <c r="AE550" i="1"/>
  <c r="AD550" i="1"/>
  <c r="AB550" i="1"/>
  <c r="AA550" i="1"/>
  <c r="Z550" i="1"/>
  <c r="X550" i="1"/>
  <c r="W550" i="1"/>
  <c r="V550" i="1"/>
  <c r="S550" i="1"/>
  <c r="R550" i="1"/>
  <c r="Q550" i="1"/>
  <c r="O550" i="1"/>
  <c r="M550" i="1"/>
  <c r="L550" i="1"/>
  <c r="K550" i="1"/>
  <c r="J550" i="1"/>
  <c r="I550" i="1"/>
  <c r="H550" i="1"/>
  <c r="G550" i="1"/>
  <c r="F550" i="1"/>
  <c r="E550" i="1"/>
  <c r="D550" i="1"/>
  <c r="AO549" i="1"/>
  <c r="AN549" i="1"/>
  <c r="AM549" i="1"/>
  <c r="AL549" i="1"/>
  <c r="AK549" i="1"/>
  <c r="AJ549" i="1"/>
  <c r="AI549" i="1"/>
  <c r="AG549" i="1"/>
  <c r="AE549" i="1"/>
  <c r="AD549" i="1"/>
  <c r="AB549" i="1"/>
  <c r="AA549" i="1"/>
  <c r="Z549" i="1"/>
  <c r="X549" i="1"/>
  <c r="W549" i="1"/>
  <c r="V549" i="1"/>
  <c r="S549" i="1"/>
  <c r="R549" i="1"/>
  <c r="Q549" i="1"/>
  <c r="O549" i="1"/>
  <c r="M549" i="1"/>
  <c r="L549" i="1"/>
  <c r="K549" i="1"/>
  <c r="J549" i="1"/>
  <c r="I549" i="1"/>
  <c r="H549" i="1"/>
  <c r="G549" i="1"/>
  <c r="F549" i="1"/>
  <c r="E549" i="1"/>
  <c r="D549" i="1"/>
  <c r="AO548" i="1"/>
  <c r="AN548" i="1"/>
  <c r="AM548" i="1"/>
  <c r="AL548" i="1"/>
  <c r="AK548" i="1"/>
  <c r="AJ548" i="1"/>
  <c r="AI548" i="1"/>
  <c r="AG548" i="1"/>
  <c r="AE548" i="1"/>
  <c r="AD548" i="1"/>
  <c r="AB548" i="1"/>
  <c r="AA548" i="1"/>
  <c r="Z548" i="1"/>
  <c r="X548" i="1"/>
  <c r="W548" i="1"/>
  <c r="V548" i="1"/>
  <c r="S548" i="1"/>
  <c r="R548" i="1"/>
  <c r="Q548" i="1"/>
  <c r="O548" i="1"/>
  <c r="M548" i="1"/>
  <c r="L548" i="1"/>
  <c r="K548" i="1"/>
  <c r="J548" i="1"/>
  <c r="I548" i="1"/>
  <c r="H548" i="1"/>
  <c r="G548" i="1"/>
  <c r="F548" i="1"/>
  <c r="E548" i="1"/>
  <c r="D548" i="1"/>
  <c r="AO547" i="1"/>
  <c r="AN547" i="1"/>
  <c r="AM547" i="1"/>
  <c r="AL547" i="1"/>
  <c r="AK547" i="1"/>
  <c r="AJ547" i="1"/>
  <c r="AI547" i="1"/>
  <c r="AG547" i="1"/>
  <c r="AE547" i="1"/>
  <c r="AD547" i="1"/>
  <c r="AB547" i="1"/>
  <c r="AA547" i="1"/>
  <c r="Z547" i="1"/>
  <c r="X547" i="1"/>
  <c r="W547" i="1"/>
  <c r="V547" i="1"/>
  <c r="S547" i="1"/>
  <c r="R547" i="1"/>
  <c r="Q547" i="1"/>
  <c r="O547" i="1"/>
  <c r="M547" i="1"/>
  <c r="L547" i="1"/>
  <c r="K547" i="1"/>
  <c r="J547" i="1"/>
  <c r="I547" i="1"/>
  <c r="H547" i="1"/>
  <c r="G547" i="1"/>
  <c r="F547" i="1"/>
  <c r="E547" i="1"/>
  <c r="D547" i="1"/>
  <c r="AO546" i="1"/>
  <c r="AN546" i="1"/>
  <c r="AM546" i="1"/>
  <c r="AL546" i="1"/>
  <c r="AK546" i="1"/>
  <c r="AJ546" i="1"/>
  <c r="AI546" i="1"/>
  <c r="AG546" i="1"/>
  <c r="AE546" i="1"/>
  <c r="AD546" i="1"/>
  <c r="AB546" i="1"/>
  <c r="AA546" i="1"/>
  <c r="Z546" i="1"/>
  <c r="X546" i="1"/>
  <c r="W546" i="1"/>
  <c r="V546" i="1"/>
  <c r="S546" i="1"/>
  <c r="R546" i="1"/>
  <c r="Q546" i="1"/>
  <c r="O546" i="1"/>
  <c r="M546" i="1"/>
  <c r="L546" i="1"/>
  <c r="K546" i="1"/>
  <c r="J546" i="1"/>
  <c r="I546" i="1"/>
  <c r="H546" i="1"/>
  <c r="G546" i="1"/>
  <c r="F546" i="1"/>
  <c r="E546" i="1"/>
  <c r="D546" i="1"/>
  <c r="AO545" i="1"/>
  <c r="AN545" i="1"/>
  <c r="AM545" i="1"/>
  <c r="AL545" i="1"/>
  <c r="AK545" i="1"/>
  <c r="AJ545" i="1"/>
  <c r="AI545" i="1"/>
  <c r="AG545" i="1"/>
  <c r="AE545" i="1"/>
  <c r="AD545" i="1"/>
  <c r="AB545" i="1"/>
  <c r="AA545" i="1"/>
  <c r="Z545" i="1"/>
  <c r="X545" i="1"/>
  <c r="W545" i="1"/>
  <c r="V545" i="1"/>
  <c r="S545" i="1"/>
  <c r="R545" i="1"/>
  <c r="Q545" i="1"/>
  <c r="O545" i="1"/>
  <c r="M545" i="1"/>
  <c r="L545" i="1"/>
  <c r="K545" i="1"/>
  <c r="J545" i="1"/>
  <c r="I545" i="1"/>
  <c r="H545" i="1"/>
  <c r="G545" i="1"/>
  <c r="F545" i="1"/>
  <c r="E545" i="1"/>
  <c r="D545" i="1"/>
  <c r="AO544" i="1"/>
  <c r="AN544" i="1"/>
  <c r="AM544" i="1"/>
  <c r="AL544" i="1"/>
  <c r="AK544" i="1"/>
  <c r="AJ544" i="1"/>
  <c r="AI544" i="1"/>
  <c r="AG544" i="1"/>
  <c r="AE544" i="1"/>
  <c r="AD544" i="1"/>
  <c r="AB544" i="1"/>
  <c r="AA544" i="1"/>
  <c r="Z544" i="1"/>
  <c r="X544" i="1"/>
  <c r="W544" i="1"/>
  <c r="V544" i="1"/>
  <c r="S544" i="1"/>
  <c r="R544" i="1"/>
  <c r="Q544" i="1"/>
  <c r="O544" i="1"/>
  <c r="M544" i="1"/>
  <c r="L544" i="1"/>
  <c r="K544" i="1"/>
  <c r="J544" i="1"/>
  <c r="I544" i="1"/>
  <c r="H544" i="1"/>
  <c r="G544" i="1"/>
  <c r="F544" i="1"/>
  <c r="E544" i="1"/>
  <c r="D544" i="1"/>
  <c r="AO543" i="1"/>
  <c r="AN543" i="1"/>
  <c r="AM543" i="1"/>
  <c r="AL543" i="1"/>
  <c r="AK543" i="1"/>
  <c r="AJ543" i="1"/>
  <c r="AI543" i="1"/>
  <c r="AG543" i="1"/>
  <c r="AE543" i="1"/>
  <c r="AD543" i="1"/>
  <c r="AB543" i="1"/>
  <c r="AA543" i="1"/>
  <c r="Z543" i="1"/>
  <c r="X543" i="1"/>
  <c r="W543" i="1"/>
  <c r="V543" i="1"/>
  <c r="S543" i="1"/>
  <c r="R543" i="1"/>
  <c r="Q543" i="1"/>
  <c r="O543" i="1"/>
  <c r="M543" i="1"/>
  <c r="L543" i="1"/>
  <c r="K543" i="1"/>
  <c r="J543" i="1"/>
  <c r="I543" i="1"/>
  <c r="H543" i="1"/>
  <c r="G543" i="1"/>
  <c r="F543" i="1"/>
  <c r="E543" i="1"/>
  <c r="D543" i="1"/>
  <c r="AO542" i="1"/>
  <c r="AN542" i="1"/>
  <c r="AM542" i="1"/>
  <c r="AL542" i="1"/>
  <c r="AK542" i="1"/>
  <c r="AJ542" i="1"/>
  <c r="AI542" i="1"/>
  <c r="AG542" i="1"/>
  <c r="AE542" i="1"/>
  <c r="AD542" i="1"/>
  <c r="AB542" i="1"/>
  <c r="AA542" i="1"/>
  <c r="Z542" i="1"/>
  <c r="X542" i="1"/>
  <c r="W542" i="1"/>
  <c r="V542" i="1"/>
  <c r="S542" i="1"/>
  <c r="R542" i="1"/>
  <c r="Q542" i="1"/>
  <c r="O542" i="1"/>
  <c r="M542" i="1"/>
  <c r="L542" i="1"/>
  <c r="K542" i="1"/>
  <c r="J542" i="1"/>
  <c r="I542" i="1"/>
  <c r="H542" i="1"/>
  <c r="G542" i="1"/>
  <c r="F542" i="1"/>
  <c r="E542" i="1"/>
  <c r="D542" i="1"/>
  <c r="AO541" i="1"/>
  <c r="AN541" i="1"/>
  <c r="AM541" i="1"/>
  <c r="AL541" i="1"/>
  <c r="AK541" i="1"/>
  <c r="AJ541" i="1"/>
  <c r="AI541" i="1"/>
  <c r="AG541" i="1"/>
  <c r="AE541" i="1"/>
  <c r="AD541" i="1"/>
  <c r="AB541" i="1"/>
  <c r="AA541" i="1"/>
  <c r="Z541" i="1"/>
  <c r="X541" i="1"/>
  <c r="W541" i="1"/>
  <c r="V541" i="1"/>
  <c r="S541" i="1"/>
  <c r="R541" i="1"/>
  <c r="Q541" i="1"/>
  <c r="O541" i="1"/>
  <c r="M541" i="1"/>
  <c r="L541" i="1"/>
  <c r="K541" i="1"/>
  <c r="J541" i="1"/>
  <c r="I541" i="1"/>
  <c r="H541" i="1"/>
  <c r="G541" i="1"/>
  <c r="F541" i="1"/>
  <c r="E541" i="1"/>
  <c r="D541" i="1"/>
  <c r="AO540" i="1"/>
  <c r="AN540" i="1"/>
  <c r="AM540" i="1"/>
  <c r="AL540" i="1"/>
  <c r="AK540" i="1"/>
  <c r="AJ540" i="1"/>
  <c r="AI540" i="1"/>
  <c r="AG540" i="1"/>
  <c r="AE540" i="1"/>
  <c r="AD540" i="1"/>
  <c r="AB540" i="1"/>
  <c r="AA540" i="1"/>
  <c r="Z540" i="1"/>
  <c r="X540" i="1"/>
  <c r="W540" i="1"/>
  <c r="V540" i="1"/>
  <c r="S540" i="1"/>
  <c r="R540" i="1"/>
  <c r="Q540" i="1"/>
  <c r="O540" i="1"/>
  <c r="M540" i="1"/>
  <c r="L540" i="1"/>
  <c r="K540" i="1"/>
  <c r="J540" i="1"/>
  <c r="I540" i="1"/>
  <c r="H540" i="1"/>
  <c r="G540" i="1"/>
  <c r="F540" i="1"/>
  <c r="E540" i="1"/>
  <c r="D540" i="1"/>
  <c r="AO539" i="1"/>
  <c r="AN539" i="1"/>
  <c r="AM539" i="1"/>
  <c r="AL539" i="1"/>
  <c r="AK539" i="1"/>
  <c r="AJ539" i="1"/>
  <c r="AI539" i="1"/>
  <c r="AG539" i="1"/>
  <c r="AE539" i="1"/>
  <c r="AD539" i="1"/>
  <c r="AB539" i="1"/>
  <c r="AA539" i="1"/>
  <c r="Z539" i="1"/>
  <c r="X539" i="1"/>
  <c r="W539" i="1"/>
  <c r="V539" i="1"/>
  <c r="S539" i="1"/>
  <c r="R539" i="1"/>
  <c r="Q539" i="1"/>
  <c r="O539" i="1"/>
  <c r="M539" i="1"/>
  <c r="L539" i="1"/>
  <c r="K539" i="1"/>
  <c r="J539" i="1"/>
  <c r="I539" i="1"/>
  <c r="H539" i="1"/>
  <c r="G539" i="1"/>
  <c r="F539" i="1"/>
  <c r="E539" i="1"/>
  <c r="D539" i="1"/>
  <c r="AO538" i="1"/>
  <c r="AN538" i="1"/>
  <c r="AM538" i="1"/>
  <c r="AL538" i="1"/>
  <c r="AK538" i="1"/>
  <c r="AJ538" i="1"/>
  <c r="AI538" i="1"/>
  <c r="AG538" i="1"/>
  <c r="AE538" i="1"/>
  <c r="AD538" i="1"/>
  <c r="AB538" i="1"/>
  <c r="AA538" i="1"/>
  <c r="Z538" i="1"/>
  <c r="X538" i="1"/>
  <c r="W538" i="1"/>
  <c r="V538" i="1"/>
  <c r="S538" i="1"/>
  <c r="R538" i="1"/>
  <c r="Q538" i="1"/>
  <c r="O538" i="1"/>
  <c r="M538" i="1"/>
  <c r="L538" i="1"/>
  <c r="K538" i="1"/>
  <c r="J538" i="1"/>
  <c r="I538" i="1"/>
  <c r="H538" i="1"/>
  <c r="G538" i="1"/>
  <c r="F538" i="1"/>
  <c r="E538" i="1"/>
  <c r="D538" i="1"/>
  <c r="AO537" i="1"/>
  <c r="AN537" i="1"/>
  <c r="AM537" i="1"/>
  <c r="AL537" i="1"/>
  <c r="AK537" i="1"/>
  <c r="AJ537" i="1"/>
  <c r="AI537" i="1"/>
  <c r="AG537" i="1"/>
  <c r="AE537" i="1"/>
  <c r="AD537" i="1"/>
  <c r="AB537" i="1"/>
  <c r="AA537" i="1"/>
  <c r="Z537" i="1"/>
  <c r="X537" i="1"/>
  <c r="W537" i="1"/>
  <c r="V537" i="1"/>
  <c r="S537" i="1"/>
  <c r="R537" i="1"/>
  <c r="Q537" i="1"/>
  <c r="O537" i="1"/>
  <c r="M537" i="1"/>
  <c r="L537" i="1"/>
  <c r="K537" i="1"/>
  <c r="J537" i="1"/>
  <c r="I537" i="1"/>
  <c r="H537" i="1"/>
  <c r="G537" i="1"/>
  <c r="F537" i="1"/>
  <c r="E537" i="1"/>
  <c r="D537" i="1"/>
  <c r="AO536" i="1"/>
  <c r="AN536" i="1"/>
  <c r="AM536" i="1"/>
  <c r="AL536" i="1"/>
  <c r="AK536" i="1"/>
  <c r="AJ536" i="1"/>
  <c r="AI536" i="1"/>
  <c r="AG536" i="1"/>
  <c r="AE536" i="1"/>
  <c r="AD536" i="1"/>
  <c r="AB536" i="1"/>
  <c r="AA536" i="1"/>
  <c r="Z536" i="1"/>
  <c r="X536" i="1"/>
  <c r="W536" i="1"/>
  <c r="V536" i="1"/>
  <c r="S536" i="1"/>
  <c r="R536" i="1"/>
  <c r="Q536" i="1"/>
  <c r="O536" i="1"/>
  <c r="M536" i="1"/>
  <c r="L536" i="1"/>
  <c r="K536" i="1"/>
  <c r="J536" i="1"/>
  <c r="I536" i="1"/>
  <c r="H536" i="1"/>
  <c r="G536" i="1"/>
  <c r="F536" i="1"/>
  <c r="E536" i="1"/>
  <c r="D536" i="1"/>
  <c r="AO535" i="1"/>
  <c r="AN535" i="1"/>
  <c r="AM535" i="1"/>
  <c r="AL535" i="1"/>
  <c r="AK535" i="1"/>
  <c r="AJ535" i="1"/>
  <c r="AI535" i="1"/>
  <c r="AG535" i="1"/>
  <c r="AE535" i="1"/>
  <c r="AD535" i="1"/>
  <c r="AB535" i="1"/>
  <c r="AA535" i="1"/>
  <c r="Z535" i="1"/>
  <c r="X535" i="1"/>
  <c r="W535" i="1"/>
  <c r="V535" i="1"/>
  <c r="S535" i="1"/>
  <c r="R535" i="1"/>
  <c r="Q535" i="1"/>
  <c r="O535" i="1"/>
  <c r="M535" i="1"/>
  <c r="L535" i="1"/>
  <c r="K535" i="1"/>
  <c r="J535" i="1"/>
  <c r="I535" i="1"/>
  <c r="H535" i="1"/>
  <c r="G535" i="1"/>
  <c r="F535" i="1"/>
  <c r="E535" i="1"/>
  <c r="D535" i="1"/>
  <c r="AO534" i="1"/>
  <c r="AN534" i="1"/>
  <c r="AM534" i="1"/>
  <c r="AL534" i="1"/>
  <c r="AK534" i="1"/>
  <c r="AJ534" i="1"/>
  <c r="AI534" i="1"/>
  <c r="AG534" i="1"/>
  <c r="AE534" i="1"/>
  <c r="AD534" i="1"/>
  <c r="AB534" i="1"/>
  <c r="AA534" i="1"/>
  <c r="Z534" i="1"/>
  <c r="X534" i="1"/>
  <c r="W534" i="1"/>
  <c r="V534" i="1"/>
  <c r="S534" i="1"/>
  <c r="R534" i="1"/>
  <c r="Q534" i="1"/>
  <c r="O534" i="1"/>
  <c r="M534" i="1"/>
  <c r="L534" i="1"/>
  <c r="K534" i="1"/>
  <c r="J534" i="1"/>
  <c r="I534" i="1"/>
  <c r="H534" i="1"/>
  <c r="G534" i="1"/>
  <c r="F534" i="1"/>
  <c r="E534" i="1"/>
  <c r="D534" i="1"/>
  <c r="AO533" i="1"/>
  <c r="AN533" i="1"/>
  <c r="AM533" i="1"/>
  <c r="AL533" i="1"/>
  <c r="AK533" i="1"/>
  <c r="AJ533" i="1"/>
  <c r="AI533" i="1"/>
  <c r="AG533" i="1"/>
  <c r="AE533" i="1"/>
  <c r="AD533" i="1"/>
  <c r="AB533" i="1"/>
  <c r="AA533" i="1"/>
  <c r="Z533" i="1"/>
  <c r="X533" i="1"/>
  <c r="W533" i="1"/>
  <c r="V533" i="1"/>
  <c r="S533" i="1"/>
  <c r="R533" i="1"/>
  <c r="Q533" i="1"/>
  <c r="O533" i="1"/>
  <c r="M533" i="1"/>
  <c r="L533" i="1"/>
  <c r="K533" i="1"/>
  <c r="J533" i="1"/>
  <c r="I533" i="1"/>
  <c r="H533" i="1"/>
  <c r="G533" i="1"/>
  <c r="F533" i="1"/>
  <c r="E533" i="1"/>
  <c r="D533" i="1"/>
  <c r="AO532" i="1"/>
  <c r="AN532" i="1"/>
  <c r="AM532" i="1"/>
  <c r="AL532" i="1"/>
  <c r="AK532" i="1"/>
  <c r="AJ532" i="1"/>
  <c r="AI532" i="1"/>
  <c r="AG532" i="1"/>
  <c r="AE532" i="1"/>
  <c r="AD532" i="1"/>
  <c r="AB532" i="1"/>
  <c r="AA532" i="1"/>
  <c r="Z532" i="1"/>
  <c r="X532" i="1"/>
  <c r="W532" i="1"/>
  <c r="V532" i="1"/>
  <c r="S532" i="1"/>
  <c r="R532" i="1"/>
  <c r="Q532" i="1"/>
  <c r="O532" i="1"/>
  <c r="M532" i="1"/>
  <c r="L532" i="1"/>
  <c r="K532" i="1"/>
  <c r="J532" i="1"/>
  <c r="I532" i="1"/>
  <c r="H532" i="1"/>
  <c r="G532" i="1"/>
  <c r="F532" i="1"/>
  <c r="E532" i="1"/>
  <c r="D532" i="1"/>
  <c r="AO531" i="1"/>
  <c r="AN531" i="1"/>
  <c r="AM531" i="1"/>
  <c r="AL531" i="1"/>
  <c r="AK531" i="1"/>
  <c r="AJ531" i="1"/>
  <c r="AI531" i="1"/>
  <c r="AG531" i="1"/>
  <c r="AE531" i="1"/>
  <c r="AD531" i="1"/>
  <c r="AB531" i="1"/>
  <c r="AA531" i="1"/>
  <c r="Z531" i="1"/>
  <c r="X531" i="1"/>
  <c r="W531" i="1"/>
  <c r="V531" i="1"/>
  <c r="S531" i="1"/>
  <c r="R531" i="1"/>
  <c r="Q531" i="1"/>
  <c r="O531" i="1"/>
  <c r="M531" i="1"/>
  <c r="L531" i="1"/>
  <c r="K531" i="1"/>
  <c r="J531" i="1"/>
  <c r="I531" i="1"/>
  <c r="H531" i="1"/>
  <c r="G531" i="1"/>
  <c r="F531" i="1"/>
  <c r="E531" i="1"/>
  <c r="D531" i="1"/>
  <c r="AO530" i="1"/>
  <c r="AN530" i="1"/>
  <c r="AM530" i="1"/>
  <c r="AL530" i="1"/>
  <c r="AK530" i="1"/>
  <c r="AJ530" i="1"/>
  <c r="AI530" i="1"/>
  <c r="AG530" i="1"/>
  <c r="AE530" i="1"/>
  <c r="AD530" i="1"/>
  <c r="AB530" i="1"/>
  <c r="AA530" i="1"/>
  <c r="Z530" i="1"/>
  <c r="X530" i="1"/>
  <c r="W530" i="1"/>
  <c r="V530" i="1"/>
  <c r="S530" i="1"/>
  <c r="R530" i="1"/>
  <c r="Q530" i="1"/>
  <c r="O530" i="1"/>
  <c r="M530" i="1"/>
  <c r="L530" i="1"/>
  <c r="K530" i="1"/>
  <c r="J530" i="1"/>
  <c r="I530" i="1"/>
  <c r="H530" i="1"/>
  <c r="G530" i="1"/>
  <c r="F530" i="1"/>
  <c r="E530" i="1"/>
  <c r="D530" i="1"/>
  <c r="AO529" i="1"/>
  <c r="AN529" i="1"/>
  <c r="AM529" i="1"/>
  <c r="AL529" i="1"/>
  <c r="AK529" i="1"/>
  <c r="AJ529" i="1"/>
  <c r="AI529" i="1"/>
  <c r="AG529" i="1"/>
  <c r="AE529" i="1"/>
  <c r="AD529" i="1"/>
  <c r="AB529" i="1"/>
  <c r="AA529" i="1"/>
  <c r="Z529" i="1"/>
  <c r="X529" i="1"/>
  <c r="W529" i="1"/>
  <c r="V529" i="1"/>
  <c r="S529" i="1"/>
  <c r="R529" i="1"/>
  <c r="Q529" i="1"/>
  <c r="O529" i="1"/>
  <c r="M529" i="1"/>
  <c r="L529" i="1"/>
  <c r="K529" i="1"/>
  <c r="J529" i="1"/>
  <c r="I529" i="1"/>
  <c r="H529" i="1"/>
  <c r="G529" i="1"/>
  <c r="F529" i="1"/>
  <c r="E529" i="1"/>
  <c r="D529" i="1"/>
  <c r="AO528" i="1"/>
  <c r="AN528" i="1"/>
  <c r="AM528" i="1"/>
  <c r="AL528" i="1"/>
  <c r="AK528" i="1"/>
  <c r="AJ528" i="1"/>
  <c r="AI528" i="1"/>
  <c r="AG528" i="1"/>
  <c r="AE528" i="1"/>
  <c r="AD528" i="1"/>
  <c r="AB528" i="1"/>
  <c r="AA528" i="1"/>
  <c r="Z528" i="1"/>
  <c r="X528" i="1"/>
  <c r="W528" i="1"/>
  <c r="V528" i="1"/>
  <c r="S528" i="1"/>
  <c r="R528" i="1"/>
  <c r="Q528" i="1"/>
  <c r="O528" i="1"/>
  <c r="M528" i="1"/>
  <c r="L528" i="1"/>
  <c r="K528" i="1"/>
  <c r="J528" i="1"/>
  <c r="I528" i="1"/>
  <c r="H528" i="1"/>
  <c r="G528" i="1"/>
  <c r="F528" i="1"/>
  <c r="E528" i="1"/>
  <c r="D528" i="1"/>
  <c r="AO527" i="1"/>
  <c r="AN527" i="1"/>
  <c r="AM527" i="1"/>
  <c r="AL527" i="1"/>
  <c r="AK527" i="1"/>
  <c r="AJ527" i="1"/>
  <c r="AI527" i="1"/>
  <c r="AG527" i="1"/>
  <c r="AE527" i="1"/>
  <c r="AD527" i="1"/>
  <c r="AB527" i="1"/>
  <c r="AA527" i="1"/>
  <c r="Z527" i="1"/>
  <c r="X527" i="1"/>
  <c r="W527" i="1"/>
  <c r="V527" i="1"/>
  <c r="S527" i="1"/>
  <c r="R527" i="1"/>
  <c r="Q527" i="1"/>
  <c r="O527" i="1"/>
  <c r="M527" i="1"/>
  <c r="L527" i="1"/>
  <c r="K527" i="1"/>
  <c r="J527" i="1"/>
  <c r="I527" i="1"/>
  <c r="H527" i="1"/>
  <c r="G527" i="1"/>
  <c r="F527" i="1"/>
  <c r="E527" i="1"/>
  <c r="D527" i="1"/>
  <c r="AO526" i="1"/>
  <c r="AN526" i="1"/>
  <c r="AM526" i="1"/>
  <c r="AL526" i="1"/>
  <c r="AK526" i="1"/>
  <c r="AJ526" i="1"/>
  <c r="AI526" i="1"/>
  <c r="AG526" i="1"/>
  <c r="AE526" i="1"/>
  <c r="AD526" i="1"/>
  <c r="AB526" i="1"/>
  <c r="AA526" i="1"/>
  <c r="Z526" i="1"/>
  <c r="X526" i="1"/>
  <c r="W526" i="1"/>
  <c r="V526" i="1"/>
  <c r="S526" i="1"/>
  <c r="R526" i="1"/>
  <c r="Q526" i="1"/>
  <c r="O526" i="1"/>
  <c r="M526" i="1"/>
  <c r="L526" i="1"/>
  <c r="K526" i="1"/>
  <c r="J526" i="1"/>
  <c r="I526" i="1"/>
  <c r="H526" i="1"/>
  <c r="G526" i="1"/>
  <c r="F526" i="1"/>
  <c r="E526" i="1"/>
  <c r="D526" i="1"/>
  <c r="AO525" i="1"/>
  <c r="AN525" i="1"/>
  <c r="AM525" i="1"/>
  <c r="AL525" i="1"/>
  <c r="AK525" i="1"/>
  <c r="AJ525" i="1"/>
  <c r="AI525" i="1"/>
  <c r="AG525" i="1"/>
  <c r="AE525" i="1"/>
  <c r="AD525" i="1"/>
  <c r="AB525" i="1"/>
  <c r="AA525" i="1"/>
  <c r="Z525" i="1"/>
  <c r="X525" i="1"/>
  <c r="W525" i="1"/>
  <c r="V525" i="1"/>
  <c r="S525" i="1"/>
  <c r="R525" i="1"/>
  <c r="Q525" i="1"/>
  <c r="O525" i="1"/>
  <c r="M525" i="1"/>
  <c r="L525" i="1"/>
  <c r="K525" i="1"/>
  <c r="J525" i="1"/>
  <c r="I525" i="1"/>
  <c r="H525" i="1"/>
  <c r="G525" i="1"/>
  <c r="F525" i="1"/>
  <c r="E525" i="1"/>
  <c r="D525" i="1"/>
  <c r="AO524" i="1"/>
  <c r="AN524" i="1"/>
  <c r="AM524" i="1"/>
  <c r="AL524" i="1"/>
  <c r="AK524" i="1"/>
  <c r="AJ524" i="1"/>
  <c r="AI524" i="1"/>
  <c r="AG524" i="1"/>
  <c r="AE524" i="1"/>
  <c r="AD524" i="1"/>
  <c r="AB524" i="1"/>
  <c r="AA524" i="1"/>
  <c r="Z524" i="1"/>
  <c r="X524" i="1"/>
  <c r="W524" i="1"/>
  <c r="V524" i="1"/>
  <c r="S524" i="1"/>
  <c r="R524" i="1"/>
  <c r="Q524" i="1"/>
  <c r="O524" i="1"/>
  <c r="M524" i="1"/>
  <c r="L524" i="1"/>
  <c r="K524" i="1"/>
  <c r="J524" i="1"/>
  <c r="I524" i="1"/>
  <c r="H524" i="1"/>
  <c r="G524" i="1"/>
  <c r="F524" i="1"/>
  <c r="E524" i="1"/>
  <c r="D524" i="1"/>
  <c r="AO523" i="1"/>
  <c r="AN523" i="1"/>
  <c r="AM523" i="1"/>
  <c r="AL523" i="1"/>
  <c r="AK523" i="1"/>
  <c r="AJ523" i="1"/>
  <c r="AI523" i="1"/>
  <c r="AG523" i="1"/>
  <c r="AE523" i="1"/>
  <c r="AD523" i="1"/>
  <c r="AB523" i="1"/>
  <c r="AA523" i="1"/>
  <c r="Z523" i="1"/>
  <c r="X523" i="1"/>
  <c r="W523" i="1"/>
  <c r="V523" i="1"/>
  <c r="S523" i="1"/>
  <c r="R523" i="1"/>
  <c r="Q523" i="1"/>
  <c r="O523" i="1"/>
  <c r="M523" i="1"/>
  <c r="L523" i="1"/>
  <c r="K523" i="1"/>
  <c r="J523" i="1"/>
  <c r="I523" i="1"/>
  <c r="H523" i="1"/>
  <c r="G523" i="1"/>
  <c r="F523" i="1"/>
  <c r="E523" i="1"/>
  <c r="D523" i="1"/>
  <c r="AO522" i="1"/>
  <c r="AN522" i="1"/>
  <c r="AM522" i="1"/>
  <c r="AL522" i="1"/>
  <c r="AK522" i="1"/>
  <c r="AJ522" i="1"/>
  <c r="AI522" i="1"/>
  <c r="AG522" i="1"/>
  <c r="AE522" i="1"/>
  <c r="AD522" i="1"/>
  <c r="AB522" i="1"/>
  <c r="AA522" i="1"/>
  <c r="Z522" i="1"/>
  <c r="X522" i="1"/>
  <c r="W522" i="1"/>
  <c r="V522" i="1"/>
  <c r="S522" i="1"/>
  <c r="R522" i="1"/>
  <c r="Q522" i="1"/>
  <c r="O522" i="1"/>
  <c r="M522" i="1"/>
  <c r="L522" i="1"/>
  <c r="K522" i="1"/>
  <c r="J522" i="1"/>
  <c r="I522" i="1"/>
  <c r="H522" i="1"/>
  <c r="G522" i="1"/>
  <c r="F522" i="1"/>
  <c r="E522" i="1"/>
  <c r="D522" i="1"/>
  <c r="AO521" i="1"/>
  <c r="AN521" i="1"/>
  <c r="AM521" i="1"/>
  <c r="AL521" i="1"/>
  <c r="AK521" i="1"/>
  <c r="AJ521" i="1"/>
  <c r="AI521" i="1"/>
  <c r="AG521" i="1"/>
  <c r="AE521" i="1"/>
  <c r="AD521" i="1"/>
  <c r="AB521" i="1"/>
  <c r="AA521" i="1"/>
  <c r="Z521" i="1"/>
  <c r="X521" i="1"/>
  <c r="W521" i="1"/>
  <c r="V521" i="1"/>
  <c r="S521" i="1"/>
  <c r="R521" i="1"/>
  <c r="Q521" i="1"/>
  <c r="O521" i="1"/>
  <c r="M521" i="1"/>
  <c r="L521" i="1"/>
  <c r="K521" i="1"/>
  <c r="J521" i="1"/>
  <c r="I521" i="1"/>
  <c r="H521" i="1"/>
  <c r="G521" i="1"/>
  <c r="F521" i="1"/>
  <c r="E521" i="1"/>
  <c r="D521" i="1"/>
  <c r="AO520" i="1"/>
  <c r="AN520" i="1"/>
  <c r="AM520" i="1"/>
  <c r="AL520" i="1"/>
  <c r="AK520" i="1"/>
  <c r="AJ520" i="1"/>
  <c r="AI520" i="1"/>
  <c r="AG520" i="1"/>
  <c r="AE520" i="1"/>
  <c r="AD520" i="1"/>
  <c r="AB520" i="1"/>
  <c r="AA520" i="1"/>
  <c r="Z520" i="1"/>
  <c r="X520" i="1"/>
  <c r="W520" i="1"/>
  <c r="V520" i="1"/>
  <c r="S520" i="1"/>
  <c r="R520" i="1"/>
  <c r="Q520" i="1"/>
  <c r="O520" i="1"/>
  <c r="M520" i="1"/>
  <c r="L520" i="1"/>
  <c r="K520" i="1"/>
  <c r="J520" i="1"/>
  <c r="I520" i="1"/>
  <c r="H520" i="1"/>
  <c r="G520" i="1"/>
  <c r="F520" i="1"/>
  <c r="E520" i="1"/>
  <c r="D520" i="1"/>
  <c r="AO519" i="1"/>
  <c r="AN519" i="1"/>
  <c r="AM519" i="1"/>
  <c r="AL519" i="1"/>
  <c r="AK519" i="1"/>
  <c r="AJ519" i="1"/>
  <c r="AI519" i="1"/>
  <c r="AG519" i="1"/>
  <c r="AE519" i="1"/>
  <c r="AD519" i="1"/>
  <c r="AB519" i="1"/>
  <c r="AA519" i="1"/>
  <c r="Z519" i="1"/>
  <c r="X519" i="1"/>
  <c r="W519" i="1"/>
  <c r="V519" i="1"/>
  <c r="S519" i="1"/>
  <c r="R519" i="1"/>
  <c r="Q519" i="1"/>
  <c r="O519" i="1"/>
  <c r="M519" i="1"/>
  <c r="L519" i="1"/>
  <c r="K519" i="1"/>
  <c r="J519" i="1"/>
  <c r="I519" i="1"/>
  <c r="H519" i="1"/>
  <c r="G519" i="1"/>
  <c r="F519" i="1"/>
  <c r="E519" i="1"/>
  <c r="D519" i="1"/>
  <c r="AO518" i="1"/>
  <c r="AN518" i="1"/>
  <c r="AM518" i="1"/>
  <c r="AL518" i="1"/>
  <c r="AK518" i="1"/>
  <c r="AJ518" i="1"/>
  <c r="AI518" i="1"/>
  <c r="AG518" i="1"/>
  <c r="AE518" i="1"/>
  <c r="AD518" i="1"/>
  <c r="AB518" i="1"/>
  <c r="AA518" i="1"/>
  <c r="Z518" i="1"/>
  <c r="X518" i="1"/>
  <c r="W518" i="1"/>
  <c r="V518" i="1"/>
  <c r="S518" i="1"/>
  <c r="R518" i="1"/>
  <c r="Q518" i="1"/>
  <c r="O518" i="1"/>
  <c r="M518" i="1"/>
  <c r="L518" i="1"/>
  <c r="K518" i="1"/>
  <c r="J518" i="1"/>
  <c r="I518" i="1"/>
  <c r="H518" i="1"/>
  <c r="G518" i="1"/>
  <c r="F518" i="1"/>
  <c r="E518" i="1"/>
  <c r="D518" i="1"/>
  <c r="AO517" i="1"/>
  <c r="AN517" i="1"/>
  <c r="AM517" i="1"/>
  <c r="AL517" i="1"/>
  <c r="AK517" i="1"/>
  <c r="AJ517" i="1"/>
  <c r="AI517" i="1"/>
  <c r="AG517" i="1"/>
  <c r="AE517" i="1"/>
  <c r="AD517" i="1"/>
  <c r="AB517" i="1"/>
  <c r="AA517" i="1"/>
  <c r="Z517" i="1"/>
  <c r="X517" i="1"/>
  <c r="W517" i="1"/>
  <c r="V517" i="1"/>
  <c r="S517" i="1"/>
  <c r="R517" i="1"/>
  <c r="Q517" i="1"/>
  <c r="O517" i="1"/>
  <c r="M517" i="1"/>
  <c r="L517" i="1"/>
  <c r="K517" i="1"/>
  <c r="J517" i="1"/>
  <c r="I517" i="1"/>
  <c r="H517" i="1"/>
  <c r="G517" i="1"/>
  <c r="F517" i="1"/>
  <c r="E517" i="1"/>
  <c r="D517" i="1"/>
  <c r="AO516" i="1"/>
  <c r="AN516" i="1"/>
  <c r="AM516" i="1"/>
  <c r="AL516" i="1"/>
  <c r="AK516" i="1"/>
  <c r="AJ516" i="1"/>
  <c r="AI516" i="1"/>
  <c r="AG516" i="1"/>
  <c r="AE516" i="1"/>
  <c r="AD516" i="1"/>
  <c r="AB516" i="1"/>
  <c r="AA516" i="1"/>
  <c r="Z516" i="1"/>
  <c r="X516" i="1"/>
  <c r="W516" i="1"/>
  <c r="V516" i="1"/>
  <c r="S516" i="1"/>
  <c r="R516" i="1"/>
  <c r="Q516" i="1"/>
  <c r="O516" i="1"/>
  <c r="M516" i="1"/>
  <c r="L516" i="1"/>
  <c r="K516" i="1"/>
  <c r="J516" i="1"/>
  <c r="I516" i="1"/>
  <c r="H516" i="1"/>
  <c r="G516" i="1"/>
  <c r="F516" i="1"/>
  <c r="E516" i="1"/>
  <c r="D516" i="1"/>
  <c r="AO515" i="1"/>
  <c r="AN515" i="1"/>
  <c r="AM515" i="1"/>
  <c r="AL515" i="1"/>
  <c r="AK515" i="1"/>
  <c r="AJ515" i="1"/>
  <c r="AI515" i="1"/>
  <c r="AG515" i="1"/>
  <c r="AE515" i="1"/>
  <c r="AD515" i="1"/>
  <c r="AB515" i="1"/>
  <c r="AA515" i="1"/>
  <c r="Z515" i="1"/>
  <c r="X515" i="1"/>
  <c r="W515" i="1"/>
  <c r="V515" i="1"/>
  <c r="S515" i="1"/>
  <c r="R515" i="1"/>
  <c r="Q515" i="1"/>
  <c r="O515" i="1"/>
  <c r="M515" i="1"/>
  <c r="L515" i="1"/>
  <c r="K515" i="1"/>
  <c r="J515" i="1"/>
  <c r="I515" i="1"/>
  <c r="H515" i="1"/>
  <c r="G515" i="1"/>
  <c r="F515" i="1"/>
  <c r="E515" i="1"/>
  <c r="D515" i="1"/>
  <c r="AO514" i="1"/>
  <c r="AN514" i="1"/>
  <c r="AM514" i="1"/>
  <c r="AL514" i="1"/>
  <c r="AK514" i="1"/>
  <c r="AJ514" i="1"/>
  <c r="AI514" i="1"/>
  <c r="AG514" i="1"/>
  <c r="AE514" i="1"/>
  <c r="AD514" i="1"/>
  <c r="AB514" i="1"/>
  <c r="AA514" i="1"/>
  <c r="Z514" i="1"/>
  <c r="X514" i="1"/>
  <c r="W514" i="1"/>
  <c r="V514" i="1"/>
  <c r="S514" i="1"/>
  <c r="R514" i="1"/>
  <c r="Q514" i="1"/>
  <c r="O514" i="1"/>
  <c r="M514" i="1"/>
  <c r="L514" i="1"/>
  <c r="K514" i="1"/>
  <c r="J514" i="1"/>
  <c r="I514" i="1"/>
  <c r="H514" i="1"/>
  <c r="G514" i="1"/>
  <c r="F514" i="1"/>
  <c r="E514" i="1"/>
  <c r="D514" i="1"/>
  <c r="AO513" i="1"/>
  <c r="AN513" i="1"/>
  <c r="AM513" i="1"/>
  <c r="AL513" i="1"/>
  <c r="AK513" i="1"/>
  <c r="AJ513" i="1"/>
  <c r="AI513" i="1"/>
  <c r="AG513" i="1"/>
  <c r="AE513" i="1"/>
  <c r="AD513" i="1"/>
  <c r="AB513" i="1"/>
  <c r="AA513" i="1"/>
  <c r="Z513" i="1"/>
  <c r="X513" i="1"/>
  <c r="W513" i="1"/>
  <c r="V513" i="1"/>
  <c r="S513" i="1"/>
  <c r="R513" i="1"/>
  <c r="Q513" i="1"/>
  <c r="O513" i="1"/>
  <c r="M513" i="1"/>
  <c r="L513" i="1"/>
  <c r="K513" i="1"/>
  <c r="J513" i="1"/>
  <c r="I513" i="1"/>
  <c r="H513" i="1"/>
  <c r="G513" i="1"/>
  <c r="F513" i="1"/>
  <c r="E513" i="1"/>
  <c r="D513" i="1"/>
  <c r="AO512" i="1"/>
  <c r="AN512" i="1"/>
  <c r="AM512" i="1"/>
  <c r="AL512" i="1"/>
  <c r="AK512" i="1"/>
  <c r="AJ512" i="1"/>
  <c r="AI512" i="1"/>
  <c r="AG512" i="1"/>
  <c r="AE512" i="1"/>
  <c r="AD512" i="1"/>
  <c r="AB512" i="1"/>
  <c r="AA512" i="1"/>
  <c r="Z512" i="1"/>
  <c r="X512" i="1"/>
  <c r="W512" i="1"/>
  <c r="V512" i="1"/>
  <c r="S512" i="1"/>
  <c r="R512" i="1"/>
  <c r="Q512" i="1"/>
  <c r="O512" i="1"/>
  <c r="M512" i="1"/>
  <c r="L512" i="1"/>
  <c r="K512" i="1"/>
  <c r="J512" i="1"/>
  <c r="I512" i="1"/>
  <c r="H512" i="1"/>
  <c r="G512" i="1"/>
  <c r="F512" i="1"/>
  <c r="E512" i="1"/>
  <c r="D512" i="1"/>
  <c r="AO511" i="1"/>
  <c r="AN511" i="1"/>
  <c r="AM511" i="1"/>
  <c r="AL511" i="1"/>
  <c r="AK511" i="1"/>
  <c r="AJ511" i="1"/>
  <c r="AI511" i="1"/>
  <c r="AG511" i="1"/>
  <c r="AE511" i="1"/>
  <c r="AD511" i="1"/>
  <c r="AB511" i="1"/>
  <c r="AA511" i="1"/>
  <c r="Z511" i="1"/>
  <c r="X511" i="1"/>
  <c r="W511" i="1"/>
  <c r="V511" i="1"/>
  <c r="S511" i="1"/>
  <c r="R511" i="1"/>
  <c r="Q511" i="1"/>
  <c r="O511" i="1"/>
  <c r="M511" i="1"/>
  <c r="L511" i="1"/>
  <c r="K511" i="1"/>
  <c r="J511" i="1"/>
  <c r="I511" i="1"/>
  <c r="H511" i="1"/>
  <c r="G511" i="1"/>
  <c r="F511" i="1"/>
  <c r="E511" i="1"/>
  <c r="D511" i="1"/>
  <c r="AO510" i="1"/>
  <c r="AN510" i="1"/>
  <c r="AM510" i="1"/>
  <c r="AL510" i="1"/>
  <c r="AK510" i="1"/>
  <c r="AJ510" i="1"/>
  <c r="AI510" i="1"/>
  <c r="AG510" i="1"/>
  <c r="AE510" i="1"/>
  <c r="AD510" i="1"/>
  <c r="AB510" i="1"/>
  <c r="AA510" i="1"/>
  <c r="Z510" i="1"/>
  <c r="X510" i="1"/>
  <c r="W510" i="1"/>
  <c r="V510" i="1"/>
  <c r="S510" i="1"/>
  <c r="R510" i="1"/>
  <c r="Q510" i="1"/>
  <c r="O510" i="1"/>
  <c r="M510" i="1"/>
  <c r="L510" i="1"/>
  <c r="K510" i="1"/>
  <c r="J510" i="1"/>
  <c r="I510" i="1"/>
  <c r="H510" i="1"/>
  <c r="G510" i="1"/>
  <c r="F510" i="1"/>
  <c r="E510" i="1"/>
  <c r="D510" i="1"/>
  <c r="AO509" i="1"/>
  <c r="AN509" i="1"/>
  <c r="AM509" i="1"/>
  <c r="AL509" i="1"/>
  <c r="AK509" i="1"/>
  <c r="AJ509" i="1"/>
  <c r="AI509" i="1"/>
  <c r="AG509" i="1"/>
  <c r="AE509" i="1"/>
  <c r="AD509" i="1"/>
  <c r="AB509" i="1"/>
  <c r="AA509" i="1"/>
  <c r="Z509" i="1"/>
  <c r="X509" i="1"/>
  <c r="W509" i="1"/>
  <c r="V509" i="1"/>
  <c r="S509" i="1"/>
  <c r="R509" i="1"/>
  <c r="Q509" i="1"/>
  <c r="O509" i="1"/>
  <c r="M509" i="1"/>
  <c r="L509" i="1"/>
  <c r="K509" i="1"/>
  <c r="J509" i="1"/>
  <c r="I509" i="1"/>
  <c r="H509" i="1"/>
  <c r="G509" i="1"/>
  <c r="F509" i="1"/>
  <c r="E509" i="1"/>
  <c r="D509" i="1"/>
  <c r="AO508" i="1"/>
  <c r="AN508" i="1"/>
  <c r="AM508" i="1"/>
  <c r="AL508" i="1"/>
  <c r="AK508" i="1"/>
  <c r="AJ508" i="1"/>
  <c r="AI508" i="1"/>
  <c r="AG508" i="1"/>
  <c r="AE508" i="1"/>
  <c r="AD508" i="1"/>
  <c r="AB508" i="1"/>
  <c r="AA508" i="1"/>
  <c r="Z508" i="1"/>
  <c r="X508" i="1"/>
  <c r="W508" i="1"/>
  <c r="V508" i="1"/>
  <c r="S508" i="1"/>
  <c r="R508" i="1"/>
  <c r="Q508" i="1"/>
  <c r="O508" i="1"/>
  <c r="M508" i="1"/>
  <c r="L508" i="1"/>
  <c r="K508" i="1"/>
  <c r="J508" i="1"/>
  <c r="I508" i="1"/>
  <c r="H508" i="1"/>
  <c r="G508" i="1"/>
  <c r="F508" i="1"/>
  <c r="E508" i="1"/>
  <c r="D508" i="1"/>
  <c r="AO507" i="1"/>
  <c r="AN507" i="1"/>
  <c r="AM507" i="1"/>
  <c r="AL507" i="1"/>
  <c r="AK507" i="1"/>
  <c r="AJ507" i="1"/>
  <c r="AI507" i="1"/>
  <c r="AG507" i="1"/>
  <c r="AE507" i="1"/>
  <c r="AD507" i="1"/>
  <c r="AB507" i="1"/>
  <c r="AA507" i="1"/>
  <c r="Z507" i="1"/>
  <c r="X507" i="1"/>
  <c r="W507" i="1"/>
  <c r="V507" i="1"/>
  <c r="S507" i="1"/>
  <c r="R507" i="1"/>
  <c r="Q507" i="1"/>
  <c r="O507" i="1"/>
  <c r="M507" i="1"/>
  <c r="L507" i="1"/>
  <c r="K507" i="1"/>
  <c r="J507" i="1"/>
  <c r="I507" i="1"/>
  <c r="H507" i="1"/>
  <c r="G507" i="1"/>
  <c r="F507" i="1"/>
  <c r="E507" i="1"/>
  <c r="D507" i="1"/>
  <c r="AO506" i="1"/>
  <c r="AN506" i="1"/>
  <c r="AM506" i="1"/>
  <c r="AL506" i="1"/>
  <c r="AK506" i="1"/>
  <c r="AJ506" i="1"/>
  <c r="AI506" i="1"/>
  <c r="AG506" i="1"/>
  <c r="AE506" i="1"/>
  <c r="AD506" i="1"/>
  <c r="AB506" i="1"/>
  <c r="AA506" i="1"/>
  <c r="Z506" i="1"/>
  <c r="X506" i="1"/>
  <c r="W506" i="1"/>
  <c r="V506" i="1"/>
  <c r="S506" i="1"/>
  <c r="R506" i="1"/>
  <c r="Q506" i="1"/>
  <c r="O506" i="1"/>
  <c r="M506" i="1"/>
  <c r="L506" i="1"/>
  <c r="K506" i="1"/>
  <c r="J506" i="1"/>
  <c r="I506" i="1"/>
  <c r="H506" i="1"/>
  <c r="G506" i="1"/>
  <c r="F506" i="1"/>
  <c r="E506" i="1"/>
  <c r="D506" i="1"/>
  <c r="AO505" i="1"/>
  <c r="AN505" i="1"/>
  <c r="AM505" i="1"/>
  <c r="AL505" i="1"/>
  <c r="AK505" i="1"/>
  <c r="AJ505" i="1"/>
  <c r="AI505" i="1"/>
  <c r="AG505" i="1"/>
  <c r="AE505" i="1"/>
  <c r="AD505" i="1"/>
  <c r="AB505" i="1"/>
  <c r="AA505" i="1"/>
  <c r="Z505" i="1"/>
  <c r="X505" i="1"/>
  <c r="W505" i="1"/>
  <c r="V505" i="1"/>
  <c r="S505" i="1"/>
  <c r="R505" i="1"/>
  <c r="Q505" i="1"/>
  <c r="O505" i="1"/>
  <c r="M505" i="1"/>
  <c r="L505" i="1"/>
  <c r="K505" i="1"/>
  <c r="J505" i="1"/>
  <c r="I505" i="1"/>
  <c r="H505" i="1"/>
  <c r="G505" i="1"/>
  <c r="F505" i="1"/>
  <c r="E505" i="1"/>
  <c r="D505" i="1"/>
  <c r="AO504" i="1"/>
  <c r="AN504" i="1"/>
  <c r="AM504" i="1"/>
  <c r="AL504" i="1"/>
  <c r="AK504" i="1"/>
  <c r="AJ504" i="1"/>
  <c r="AI504" i="1"/>
  <c r="AG504" i="1"/>
  <c r="AE504" i="1"/>
  <c r="AD504" i="1"/>
  <c r="AB504" i="1"/>
  <c r="AA504" i="1"/>
  <c r="Z504" i="1"/>
  <c r="X504" i="1"/>
  <c r="W504" i="1"/>
  <c r="V504" i="1"/>
  <c r="S504" i="1"/>
  <c r="R504" i="1"/>
  <c r="Q504" i="1"/>
  <c r="O504" i="1"/>
  <c r="M504" i="1"/>
  <c r="L504" i="1"/>
  <c r="K504" i="1"/>
  <c r="J504" i="1"/>
  <c r="I504" i="1"/>
  <c r="H504" i="1"/>
  <c r="G504" i="1"/>
  <c r="F504" i="1"/>
  <c r="E504" i="1"/>
  <c r="D504" i="1"/>
  <c r="AO503" i="1"/>
  <c r="AN503" i="1"/>
  <c r="AM503" i="1"/>
  <c r="AL503" i="1"/>
  <c r="AK503" i="1"/>
  <c r="AJ503" i="1"/>
  <c r="AI503" i="1"/>
  <c r="AG503" i="1"/>
  <c r="AE503" i="1"/>
  <c r="AD503" i="1"/>
  <c r="AB503" i="1"/>
  <c r="AA503" i="1"/>
  <c r="Z503" i="1"/>
  <c r="X503" i="1"/>
  <c r="W503" i="1"/>
  <c r="V503" i="1"/>
  <c r="S503" i="1"/>
  <c r="R503" i="1"/>
  <c r="Q503" i="1"/>
  <c r="O503" i="1"/>
  <c r="M503" i="1"/>
  <c r="L503" i="1"/>
  <c r="K503" i="1"/>
  <c r="J503" i="1"/>
  <c r="I503" i="1"/>
  <c r="H503" i="1"/>
  <c r="G503" i="1"/>
  <c r="F503" i="1"/>
  <c r="E503" i="1"/>
  <c r="D503" i="1"/>
  <c r="AO502" i="1"/>
  <c r="AN502" i="1"/>
  <c r="AM502" i="1"/>
  <c r="AL502" i="1"/>
  <c r="AK502" i="1"/>
  <c r="AJ502" i="1"/>
  <c r="AI502" i="1"/>
  <c r="AG502" i="1"/>
  <c r="AE502" i="1"/>
  <c r="AD502" i="1"/>
  <c r="AB502" i="1"/>
  <c r="AA502" i="1"/>
  <c r="Z502" i="1"/>
  <c r="X502" i="1"/>
  <c r="W502" i="1"/>
  <c r="V502" i="1"/>
  <c r="S502" i="1"/>
  <c r="R502" i="1"/>
  <c r="Q502" i="1"/>
  <c r="O502" i="1"/>
  <c r="M502" i="1"/>
  <c r="L502" i="1"/>
  <c r="K502" i="1"/>
  <c r="J502" i="1"/>
  <c r="I502" i="1"/>
  <c r="H502" i="1"/>
  <c r="G502" i="1"/>
  <c r="F502" i="1"/>
  <c r="E502" i="1"/>
  <c r="D502" i="1"/>
  <c r="AO501" i="1"/>
  <c r="AN501" i="1"/>
  <c r="AM501" i="1"/>
  <c r="AL501" i="1"/>
  <c r="AK501" i="1"/>
  <c r="AJ501" i="1"/>
  <c r="AI501" i="1"/>
  <c r="AG501" i="1"/>
  <c r="AE501" i="1"/>
  <c r="AD501" i="1"/>
  <c r="AB501" i="1"/>
  <c r="AA501" i="1"/>
  <c r="Z501" i="1"/>
  <c r="X501" i="1"/>
  <c r="W501" i="1"/>
  <c r="V501" i="1"/>
  <c r="S501" i="1"/>
  <c r="R501" i="1"/>
  <c r="Q501" i="1"/>
  <c r="O501" i="1"/>
  <c r="M501" i="1"/>
  <c r="L501" i="1"/>
  <c r="K501" i="1"/>
  <c r="J501" i="1"/>
  <c r="I501" i="1"/>
  <c r="H501" i="1"/>
  <c r="G501" i="1"/>
  <c r="F501" i="1"/>
  <c r="E501" i="1"/>
  <c r="D501" i="1"/>
  <c r="AO500" i="1"/>
  <c r="AN500" i="1"/>
  <c r="AM500" i="1"/>
  <c r="AL500" i="1"/>
  <c r="AK500" i="1"/>
  <c r="AJ500" i="1"/>
  <c r="AI500" i="1"/>
  <c r="AG500" i="1"/>
  <c r="AE500" i="1"/>
  <c r="AD500" i="1"/>
  <c r="AB500" i="1"/>
  <c r="AA500" i="1"/>
  <c r="Z500" i="1"/>
  <c r="X500" i="1"/>
  <c r="W500" i="1"/>
  <c r="V500" i="1"/>
  <c r="S500" i="1"/>
  <c r="R500" i="1"/>
  <c r="Q500" i="1"/>
  <c r="O500" i="1"/>
  <c r="M500" i="1"/>
  <c r="L500" i="1"/>
  <c r="K500" i="1"/>
  <c r="J500" i="1"/>
  <c r="I500" i="1"/>
  <c r="H500" i="1"/>
  <c r="G500" i="1"/>
  <c r="F500" i="1"/>
  <c r="E500" i="1"/>
  <c r="D500" i="1"/>
  <c r="AO499" i="1"/>
  <c r="AN499" i="1"/>
  <c r="AM499" i="1"/>
  <c r="AL499" i="1"/>
  <c r="AK499" i="1"/>
  <c r="AJ499" i="1"/>
  <c r="AI499" i="1"/>
  <c r="AG499" i="1"/>
  <c r="AE499" i="1"/>
  <c r="AD499" i="1"/>
  <c r="AB499" i="1"/>
  <c r="AA499" i="1"/>
  <c r="Z499" i="1"/>
  <c r="X499" i="1"/>
  <c r="W499" i="1"/>
  <c r="V499" i="1"/>
  <c r="S499" i="1"/>
  <c r="R499" i="1"/>
  <c r="Q499" i="1"/>
  <c r="O499" i="1"/>
  <c r="M499" i="1"/>
  <c r="L499" i="1"/>
  <c r="K499" i="1"/>
  <c r="J499" i="1"/>
  <c r="I499" i="1"/>
  <c r="H499" i="1"/>
  <c r="G499" i="1"/>
  <c r="F499" i="1"/>
  <c r="E499" i="1"/>
  <c r="D499" i="1"/>
  <c r="AO498" i="1"/>
  <c r="AN498" i="1"/>
  <c r="AM498" i="1"/>
  <c r="AL498" i="1"/>
  <c r="AK498" i="1"/>
  <c r="AJ498" i="1"/>
  <c r="AI498" i="1"/>
  <c r="AG498" i="1"/>
  <c r="AE498" i="1"/>
  <c r="AD498" i="1"/>
  <c r="AB498" i="1"/>
  <c r="AA498" i="1"/>
  <c r="Z498" i="1"/>
  <c r="X498" i="1"/>
  <c r="W498" i="1"/>
  <c r="V498" i="1"/>
  <c r="S498" i="1"/>
  <c r="R498" i="1"/>
  <c r="Q498" i="1"/>
  <c r="O498" i="1"/>
  <c r="M498" i="1"/>
  <c r="L498" i="1"/>
  <c r="K498" i="1"/>
  <c r="J498" i="1"/>
  <c r="I498" i="1"/>
  <c r="H498" i="1"/>
  <c r="G498" i="1"/>
  <c r="F498" i="1"/>
  <c r="E498" i="1"/>
  <c r="D498" i="1"/>
  <c r="AO497" i="1"/>
  <c r="AN497" i="1"/>
  <c r="AM497" i="1"/>
  <c r="AL497" i="1"/>
  <c r="AK497" i="1"/>
  <c r="AJ497" i="1"/>
  <c r="AI497" i="1"/>
  <c r="AG497" i="1"/>
  <c r="AE497" i="1"/>
  <c r="AD497" i="1"/>
  <c r="AB497" i="1"/>
  <c r="AA497" i="1"/>
  <c r="Z497" i="1"/>
  <c r="X497" i="1"/>
  <c r="W497" i="1"/>
  <c r="V497" i="1"/>
  <c r="S497" i="1"/>
  <c r="R497" i="1"/>
  <c r="Q497" i="1"/>
  <c r="O497" i="1"/>
  <c r="M497" i="1"/>
  <c r="L497" i="1"/>
  <c r="K497" i="1"/>
  <c r="J497" i="1"/>
  <c r="I497" i="1"/>
  <c r="H497" i="1"/>
  <c r="G497" i="1"/>
  <c r="F497" i="1"/>
  <c r="E497" i="1"/>
  <c r="D497" i="1"/>
  <c r="AO496" i="1"/>
  <c r="AN496" i="1"/>
  <c r="AM496" i="1"/>
  <c r="AL496" i="1"/>
  <c r="AK496" i="1"/>
  <c r="AJ496" i="1"/>
  <c r="AI496" i="1"/>
  <c r="AG496" i="1"/>
  <c r="AE496" i="1"/>
  <c r="AD496" i="1"/>
  <c r="AB496" i="1"/>
  <c r="AA496" i="1"/>
  <c r="Z496" i="1"/>
  <c r="X496" i="1"/>
  <c r="W496" i="1"/>
  <c r="V496" i="1"/>
  <c r="S496" i="1"/>
  <c r="R496" i="1"/>
  <c r="Q496" i="1"/>
  <c r="O496" i="1"/>
  <c r="M496" i="1"/>
  <c r="L496" i="1"/>
  <c r="K496" i="1"/>
  <c r="J496" i="1"/>
  <c r="I496" i="1"/>
  <c r="H496" i="1"/>
  <c r="G496" i="1"/>
  <c r="F496" i="1"/>
  <c r="E496" i="1"/>
  <c r="D496" i="1"/>
  <c r="AO495" i="1"/>
  <c r="AN495" i="1"/>
  <c r="AM495" i="1"/>
  <c r="AL495" i="1"/>
  <c r="AK495" i="1"/>
  <c r="AJ495" i="1"/>
  <c r="AI495" i="1"/>
  <c r="AG495" i="1"/>
  <c r="AE495" i="1"/>
  <c r="AD495" i="1"/>
  <c r="AB495" i="1"/>
  <c r="AA495" i="1"/>
  <c r="Z495" i="1"/>
  <c r="X495" i="1"/>
  <c r="W495" i="1"/>
  <c r="V495" i="1"/>
  <c r="S495" i="1"/>
  <c r="R495" i="1"/>
  <c r="Q495" i="1"/>
  <c r="O495" i="1"/>
  <c r="M495" i="1"/>
  <c r="L495" i="1"/>
  <c r="K495" i="1"/>
  <c r="J495" i="1"/>
  <c r="I495" i="1"/>
  <c r="H495" i="1"/>
  <c r="G495" i="1"/>
  <c r="F495" i="1"/>
  <c r="E495" i="1"/>
  <c r="D495" i="1"/>
  <c r="AO494" i="1"/>
  <c r="AN494" i="1"/>
  <c r="AM494" i="1"/>
  <c r="AL494" i="1"/>
  <c r="AK494" i="1"/>
  <c r="AJ494" i="1"/>
  <c r="AI494" i="1"/>
  <c r="AG494" i="1"/>
  <c r="AE494" i="1"/>
  <c r="AD494" i="1"/>
  <c r="AB494" i="1"/>
  <c r="AA494" i="1"/>
  <c r="Z494" i="1"/>
  <c r="X494" i="1"/>
  <c r="W494" i="1"/>
  <c r="V494" i="1"/>
  <c r="S494" i="1"/>
  <c r="R494" i="1"/>
  <c r="Q494" i="1"/>
  <c r="O494" i="1"/>
  <c r="M494" i="1"/>
  <c r="L494" i="1"/>
  <c r="K494" i="1"/>
  <c r="J494" i="1"/>
  <c r="I494" i="1"/>
  <c r="H494" i="1"/>
  <c r="G494" i="1"/>
  <c r="F494" i="1"/>
  <c r="E494" i="1"/>
  <c r="D494" i="1"/>
  <c r="AO493" i="1"/>
  <c r="AN493" i="1"/>
  <c r="AM493" i="1"/>
  <c r="AL493" i="1"/>
  <c r="AK493" i="1"/>
  <c r="AJ493" i="1"/>
  <c r="AI493" i="1"/>
  <c r="AG493" i="1"/>
  <c r="AE493" i="1"/>
  <c r="AD493" i="1"/>
  <c r="AB493" i="1"/>
  <c r="AA493" i="1"/>
  <c r="Z493" i="1"/>
  <c r="X493" i="1"/>
  <c r="W493" i="1"/>
  <c r="V493" i="1"/>
  <c r="S493" i="1"/>
  <c r="R493" i="1"/>
  <c r="Q493" i="1"/>
  <c r="O493" i="1"/>
  <c r="M493" i="1"/>
  <c r="L493" i="1"/>
  <c r="K493" i="1"/>
  <c r="J493" i="1"/>
  <c r="I493" i="1"/>
  <c r="H493" i="1"/>
  <c r="G493" i="1"/>
  <c r="F493" i="1"/>
  <c r="E493" i="1"/>
  <c r="D493" i="1"/>
  <c r="AO492" i="1"/>
  <c r="AN492" i="1"/>
  <c r="AM492" i="1"/>
  <c r="AL492" i="1"/>
  <c r="AK492" i="1"/>
  <c r="AJ492" i="1"/>
  <c r="AI492" i="1"/>
  <c r="AG492" i="1"/>
  <c r="AE492" i="1"/>
  <c r="AD492" i="1"/>
  <c r="AB492" i="1"/>
  <c r="AA492" i="1"/>
  <c r="Z492" i="1"/>
  <c r="X492" i="1"/>
  <c r="W492" i="1"/>
  <c r="V492" i="1"/>
  <c r="S492" i="1"/>
  <c r="R492" i="1"/>
  <c r="Q492" i="1"/>
  <c r="O492" i="1"/>
  <c r="M492" i="1"/>
  <c r="L492" i="1"/>
  <c r="K492" i="1"/>
  <c r="J492" i="1"/>
  <c r="I492" i="1"/>
  <c r="H492" i="1"/>
  <c r="G492" i="1"/>
  <c r="F492" i="1"/>
  <c r="E492" i="1"/>
  <c r="D492" i="1"/>
  <c r="AO491" i="1"/>
  <c r="AN491" i="1"/>
  <c r="AM491" i="1"/>
  <c r="AL491" i="1"/>
  <c r="AK491" i="1"/>
  <c r="AJ491" i="1"/>
  <c r="AI491" i="1"/>
  <c r="AG491" i="1"/>
  <c r="AE491" i="1"/>
  <c r="AD491" i="1"/>
  <c r="AB491" i="1"/>
  <c r="AA491" i="1"/>
  <c r="Z491" i="1"/>
  <c r="X491" i="1"/>
  <c r="W491" i="1"/>
  <c r="V491" i="1"/>
  <c r="S491" i="1"/>
  <c r="R491" i="1"/>
  <c r="Q491" i="1"/>
  <c r="O491" i="1"/>
  <c r="M491" i="1"/>
  <c r="L491" i="1"/>
  <c r="K491" i="1"/>
  <c r="J491" i="1"/>
  <c r="I491" i="1"/>
  <c r="H491" i="1"/>
  <c r="G491" i="1"/>
  <c r="F491" i="1"/>
  <c r="E491" i="1"/>
  <c r="D491" i="1"/>
  <c r="AO490" i="1"/>
  <c r="AN490" i="1"/>
  <c r="AM490" i="1"/>
  <c r="AL490" i="1"/>
  <c r="AK490" i="1"/>
  <c r="AJ490" i="1"/>
  <c r="AI490" i="1"/>
  <c r="AG490" i="1"/>
  <c r="AE490" i="1"/>
  <c r="AD490" i="1"/>
  <c r="AB490" i="1"/>
  <c r="AA490" i="1"/>
  <c r="Z490" i="1"/>
  <c r="X490" i="1"/>
  <c r="W490" i="1"/>
  <c r="V490" i="1"/>
  <c r="S490" i="1"/>
  <c r="R490" i="1"/>
  <c r="Q490" i="1"/>
  <c r="O490" i="1"/>
  <c r="M490" i="1"/>
  <c r="L490" i="1"/>
  <c r="K490" i="1"/>
  <c r="J490" i="1"/>
  <c r="I490" i="1"/>
  <c r="H490" i="1"/>
  <c r="G490" i="1"/>
  <c r="F490" i="1"/>
  <c r="E490" i="1"/>
  <c r="D490" i="1"/>
  <c r="AO489" i="1"/>
  <c r="AN489" i="1"/>
  <c r="AM489" i="1"/>
  <c r="AL489" i="1"/>
  <c r="AK489" i="1"/>
  <c r="AJ489" i="1"/>
  <c r="AI489" i="1"/>
  <c r="AG489" i="1"/>
  <c r="AE489" i="1"/>
  <c r="AD489" i="1"/>
  <c r="AB489" i="1"/>
  <c r="AA489" i="1"/>
  <c r="Z489" i="1"/>
  <c r="X489" i="1"/>
  <c r="W489" i="1"/>
  <c r="V489" i="1"/>
  <c r="S489" i="1"/>
  <c r="R489" i="1"/>
  <c r="Q489" i="1"/>
  <c r="O489" i="1"/>
  <c r="M489" i="1"/>
  <c r="L489" i="1"/>
  <c r="K489" i="1"/>
  <c r="J489" i="1"/>
  <c r="I489" i="1"/>
  <c r="H489" i="1"/>
  <c r="G489" i="1"/>
  <c r="F489" i="1"/>
  <c r="E489" i="1"/>
  <c r="D489" i="1"/>
  <c r="AO488" i="1"/>
  <c r="AN488" i="1"/>
  <c r="AM488" i="1"/>
  <c r="AL488" i="1"/>
  <c r="AK488" i="1"/>
  <c r="AJ488" i="1"/>
  <c r="AI488" i="1"/>
  <c r="AG488" i="1"/>
  <c r="AE488" i="1"/>
  <c r="AD488" i="1"/>
  <c r="AB488" i="1"/>
  <c r="AA488" i="1"/>
  <c r="Z488" i="1"/>
  <c r="X488" i="1"/>
  <c r="W488" i="1"/>
  <c r="V488" i="1"/>
  <c r="S488" i="1"/>
  <c r="R488" i="1"/>
  <c r="Q488" i="1"/>
  <c r="O488" i="1"/>
  <c r="M488" i="1"/>
  <c r="L488" i="1"/>
  <c r="K488" i="1"/>
  <c r="J488" i="1"/>
  <c r="I488" i="1"/>
  <c r="H488" i="1"/>
  <c r="G488" i="1"/>
  <c r="F488" i="1"/>
  <c r="E488" i="1"/>
  <c r="D488" i="1"/>
  <c r="AO487" i="1"/>
  <c r="AN487" i="1"/>
  <c r="AM487" i="1"/>
  <c r="AL487" i="1"/>
  <c r="AK487" i="1"/>
  <c r="AJ487" i="1"/>
  <c r="AI487" i="1"/>
  <c r="AG487" i="1"/>
  <c r="AE487" i="1"/>
  <c r="AD487" i="1"/>
  <c r="AB487" i="1"/>
  <c r="AA487" i="1"/>
  <c r="Z487" i="1"/>
  <c r="X487" i="1"/>
  <c r="W487" i="1"/>
  <c r="V487" i="1"/>
  <c r="S487" i="1"/>
  <c r="R487" i="1"/>
  <c r="Q487" i="1"/>
  <c r="O487" i="1"/>
  <c r="M487" i="1"/>
  <c r="L487" i="1"/>
  <c r="K487" i="1"/>
  <c r="J487" i="1"/>
  <c r="I487" i="1"/>
  <c r="H487" i="1"/>
  <c r="G487" i="1"/>
  <c r="F487" i="1"/>
  <c r="E487" i="1"/>
  <c r="D487" i="1"/>
  <c r="AO486" i="1"/>
  <c r="AN486" i="1"/>
  <c r="AM486" i="1"/>
  <c r="AL486" i="1"/>
  <c r="AK486" i="1"/>
  <c r="AJ486" i="1"/>
  <c r="AI486" i="1"/>
  <c r="AG486" i="1"/>
  <c r="AE486" i="1"/>
  <c r="AD486" i="1"/>
  <c r="AB486" i="1"/>
  <c r="AA486" i="1"/>
  <c r="Z486" i="1"/>
  <c r="X486" i="1"/>
  <c r="W486" i="1"/>
  <c r="V486" i="1"/>
  <c r="S486" i="1"/>
  <c r="R486" i="1"/>
  <c r="Q486" i="1"/>
  <c r="O486" i="1"/>
  <c r="M486" i="1"/>
  <c r="L486" i="1"/>
  <c r="K486" i="1"/>
  <c r="J486" i="1"/>
  <c r="I486" i="1"/>
  <c r="H486" i="1"/>
  <c r="G486" i="1"/>
  <c r="F486" i="1"/>
  <c r="E486" i="1"/>
  <c r="D486" i="1"/>
  <c r="AO485" i="1"/>
  <c r="AN485" i="1"/>
  <c r="AM485" i="1"/>
  <c r="AL485" i="1"/>
  <c r="AK485" i="1"/>
  <c r="AJ485" i="1"/>
  <c r="AI485" i="1"/>
  <c r="AG485" i="1"/>
  <c r="AE485" i="1"/>
  <c r="AD485" i="1"/>
  <c r="AB485" i="1"/>
  <c r="AA485" i="1"/>
  <c r="Z485" i="1"/>
  <c r="X485" i="1"/>
  <c r="W485" i="1"/>
  <c r="V485" i="1"/>
  <c r="S485" i="1"/>
  <c r="R485" i="1"/>
  <c r="Q485" i="1"/>
  <c r="O485" i="1"/>
  <c r="M485" i="1"/>
  <c r="L485" i="1"/>
  <c r="K485" i="1"/>
  <c r="J485" i="1"/>
  <c r="I485" i="1"/>
  <c r="H485" i="1"/>
  <c r="G485" i="1"/>
  <c r="F485" i="1"/>
  <c r="E485" i="1"/>
  <c r="D485" i="1"/>
  <c r="AO484" i="1"/>
  <c r="AN484" i="1"/>
  <c r="AM484" i="1"/>
  <c r="AL484" i="1"/>
  <c r="AK484" i="1"/>
  <c r="AJ484" i="1"/>
  <c r="AI484" i="1"/>
  <c r="AG484" i="1"/>
  <c r="AE484" i="1"/>
  <c r="AD484" i="1"/>
  <c r="AB484" i="1"/>
  <c r="AA484" i="1"/>
  <c r="Z484" i="1"/>
  <c r="X484" i="1"/>
  <c r="W484" i="1"/>
  <c r="V484" i="1"/>
  <c r="S484" i="1"/>
  <c r="R484" i="1"/>
  <c r="Q484" i="1"/>
  <c r="O484" i="1"/>
  <c r="M484" i="1"/>
  <c r="L484" i="1"/>
  <c r="K484" i="1"/>
  <c r="J484" i="1"/>
  <c r="I484" i="1"/>
  <c r="H484" i="1"/>
  <c r="G484" i="1"/>
  <c r="F484" i="1"/>
  <c r="E484" i="1"/>
  <c r="D484" i="1"/>
  <c r="AO483" i="1"/>
  <c r="AN483" i="1"/>
  <c r="AM483" i="1"/>
  <c r="AL483" i="1"/>
  <c r="AK483" i="1"/>
  <c r="AJ483" i="1"/>
  <c r="AI483" i="1"/>
  <c r="AG483" i="1"/>
  <c r="AE483" i="1"/>
  <c r="AD483" i="1"/>
  <c r="AB483" i="1"/>
  <c r="AA483" i="1"/>
  <c r="Z483" i="1"/>
  <c r="X483" i="1"/>
  <c r="W483" i="1"/>
  <c r="V483" i="1"/>
  <c r="S483" i="1"/>
  <c r="R483" i="1"/>
  <c r="Q483" i="1"/>
  <c r="O483" i="1"/>
  <c r="M483" i="1"/>
  <c r="L483" i="1"/>
  <c r="K483" i="1"/>
  <c r="J483" i="1"/>
  <c r="I483" i="1"/>
  <c r="H483" i="1"/>
  <c r="G483" i="1"/>
  <c r="F483" i="1"/>
  <c r="E483" i="1"/>
  <c r="D483" i="1"/>
  <c r="AO482" i="1"/>
  <c r="AN482" i="1"/>
  <c r="AM482" i="1"/>
  <c r="AL482" i="1"/>
  <c r="AK482" i="1"/>
  <c r="AJ482" i="1"/>
  <c r="AI482" i="1"/>
  <c r="AG482" i="1"/>
  <c r="AE482" i="1"/>
  <c r="AD482" i="1"/>
  <c r="AB482" i="1"/>
  <c r="AA482" i="1"/>
  <c r="Z482" i="1"/>
  <c r="X482" i="1"/>
  <c r="W482" i="1"/>
  <c r="V482" i="1"/>
  <c r="S482" i="1"/>
  <c r="R482" i="1"/>
  <c r="Q482" i="1"/>
  <c r="O482" i="1"/>
  <c r="M482" i="1"/>
  <c r="L482" i="1"/>
  <c r="K482" i="1"/>
  <c r="J482" i="1"/>
  <c r="I482" i="1"/>
  <c r="H482" i="1"/>
  <c r="G482" i="1"/>
  <c r="F482" i="1"/>
  <c r="E482" i="1"/>
  <c r="D482" i="1"/>
  <c r="AO481" i="1"/>
  <c r="AN481" i="1"/>
  <c r="AM481" i="1"/>
  <c r="AL481" i="1"/>
  <c r="AK481" i="1"/>
  <c r="AJ481" i="1"/>
  <c r="AI481" i="1"/>
  <c r="AG481" i="1"/>
  <c r="AE481" i="1"/>
  <c r="AD481" i="1"/>
  <c r="AB481" i="1"/>
  <c r="AA481" i="1"/>
  <c r="Z481" i="1"/>
  <c r="X481" i="1"/>
  <c r="W481" i="1"/>
  <c r="V481" i="1"/>
  <c r="S481" i="1"/>
  <c r="R481" i="1"/>
  <c r="Q481" i="1"/>
  <c r="O481" i="1"/>
  <c r="M481" i="1"/>
  <c r="L481" i="1"/>
  <c r="K481" i="1"/>
  <c r="J481" i="1"/>
  <c r="I481" i="1"/>
  <c r="H481" i="1"/>
  <c r="G481" i="1"/>
  <c r="F481" i="1"/>
  <c r="E481" i="1"/>
  <c r="D481" i="1"/>
  <c r="AO480" i="1"/>
  <c r="AN480" i="1"/>
  <c r="AM480" i="1"/>
  <c r="AL480" i="1"/>
  <c r="AK480" i="1"/>
  <c r="AJ480" i="1"/>
  <c r="AI480" i="1"/>
  <c r="AG480" i="1"/>
  <c r="AE480" i="1"/>
  <c r="AD480" i="1"/>
  <c r="AB480" i="1"/>
  <c r="AA480" i="1"/>
  <c r="Z480" i="1"/>
  <c r="X480" i="1"/>
  <c r="W480" i="1"/>
  <c r="V480" i="1"/>
  <c r="S480" i="1"/>
  <c r="R480" i="1"/>
  <c r="Q480" i="1"/>
  <c r="O480" i="1"/>
  <c r="M480" i="1"/>
  <c r="L480" i="1"/>
  <c r="K480" i="1"/>
  <c r="J480" i="1"/>
  <c r="I480" i="1"/>
  <c r="H480" i="1"/>
  <c r="G480" i="1"/>
  <c r="F480" i="1"/>
  <c r="E480" i="1"/>
  <c r="D480" i="1"/>
  <c r="AO479" i="1"/>
  <c r="AN479" i="1"/>
  <c r="AM479" i="1"/>
  <c r="AL479" i="1"/>
  <c r="AK479" i="1"/>
  <c r="AJ479" i="1"/>
  <c r="AI479" i="1"/>
  <c r="AG479" i="1"/>
  <c r="AE479" i="1"/>
  <c r="AD479" i="1"/>
  <c r="AB479" i="1"/>
  <c r="AA479" i="1"/>
  <c r="Z479" i="1"/>
  <c r="X479" i="1"/>
  <c r="W479" i="1"/>
  <c r="V479" i="1"/>
  <c r="S479" i="1"/>
  <c r="R479" i="1"/>
  <c r="Q479" i="1"/>
  <c r="O479" i="1"/>
  <c r="M479" i="1"/>
  <c r="L479" i="1"/>
  <c r="K479" i="1"/>
  <c r="J479" i="1"/>
  <c r="I479" i="1"/>
  <c r="H479" i="1"/>
  <c r="G479" i="1"/>
  <c r="F479" i="1"/>
  <c r="E479" i="1"/>
  <c r="D479" i="1"/>
  <c r="AO478" i="1"/>
  <c r="AN478" i="1"/>
  <c r="AM478" i="1"/>
  <c r="AL478" i="1"/>
  <c r="AK478" i="1"/>
  <c r="AJ478" i="1"/>
  <c r="AI478" i="1"/>
  <c r="AG478" i="1"/>
  <c r="AE478" i="1"/>
  <c r="AD478" i="1"/>
  <c r="AB478" i="1"/>
  <c r="AA478" i="1"/>
  <c r="Z478" i="1"/>
  <c r="X478" i="1"/>
  <c r="W478" i="1"/>
  <c r="V478" i="1"/>
  <c r="S478" i="1"/>
  <c r="R478" i="1"/>
  <c r="Q478" i="1"/>
  <c r="O478" i="1"/>
  <c r="M478" i="1"/>
  <c r="L478" i="1"/>
  <c r="K478" i="1"/>
  <c r="J478" i="1"/>
  <c r="I478" i="1"/>
  <c r="H478" i="1"/>
  <c r="G478" i="1"/>
  <c r="F478" i="1"/>
  <c r="E478" i="1"/>
  <c r="D478" i="1"/>
  <c r="AO477" i="1"/>
  <c r="AN477" i="1"/>
  <c r="AM477" i="1"/>
  <c r="AL477" i="1"/>
  <c r="AK477" i="1"/>
  <c r="AJ477" i="1"/>
  <c r="AI477" i="1"/>
  <c r="AG477" i="1"/>
  <c r="AE477" i="1"/>
  <c r="AD477" i="1"/>
  <c r="AB477" i="1"/>
  <c r="AA477" i="1"/>
  <c r="Z477" i="1"/>
  <c r="X477" i="1"/>
  <c r="W477" i="1"/>
  <c r="V477" i="1"/>
  <c r="S477" i="1"/>
  <c r="R477" i="1"/>
  <c r="Q477" i="1"/>
  <c r="O477" i="1"/>
  <c r="M477" i="1"/>
  <c r="L477" i="1"/>
  <c r="K477" i="1"/>
  <c r="J477" i="1"/>
  <c r="I477" i="1"/>
  <c r="H477" i="1"/>
  <c r="G477" i="1"/>
  <c r="F477" i="1"/>
  <c r="E477" i="1"/>
  <c r="D477" i="1"/>
  <c r="AO476" i="1"/>
  <c r="AN476" i="1"/>
  <c r="AM476" i="1"/>
  <c r="AL476" i="1"/>
  <c r="AK476" i="1"/>
  <c r="AJ476" i="1"/>
  <c r="AI476" i="1"/>
  <c r="AG476" i="1"/>
  <c r="AE476" i="1"/>
  <c r="AD476" i="1"/>
  <c r="AB476" i="1"/>
  <c r="AA476" i="1"/>
  <c r="Z476" i="1"/>
  <c r="X476" i="1"/>
  <c r="W476" i="1"/>
  <c r="V476" i="1"/>
  <c r="S476" i="1"/>
  <c r="R476" i="1"/>
  <c r="Q476" i="1"/>
  <c r="O476" i="1"/>
  <c r="M476" i="1"/>
  <c r="L476" i="1"/>
  <c r="K476" i="1"/>
  <c r="J476" i="1"/>
  <c r="I476" i="1"/>
  <c r="H476" i="1"/>
  <c r="G476" i="1"/>
  <c r="F476" i="1"/>
  <c r="E476" i="1"/>
  <c r="D476" i="1"/>
  <c r="AO475" i="1"/>
  <c r="AN475" i="1"/>
  <c r="AM475" i="1"/>
  <c r="AL475" i="1"/>
  <c r="AK475" i="1"/>
  <c r="AJ475" i="1"/>
  <c r="AI475" i="1"/>
  <c r="AG475" i="1"/>
  <c r="AE475" i="1"/>
  <c r="AD475" i="1"/>
  <c r="AB475" i="1"/>
  <c r="AA475" i="1"/>
  <c r="Z475" i="1"/>
  <c r="X475" i="1"/>
  <c r="W475" i="1"/>
  <c r="V475" i="1"/>
  <c r="S475" i="1"/>
  <c r="R475" i="1"/>
  <c r="Q475" i="1"/>
  <c r="O475" i="1"/>
  <c r="M475" i="1"/>
  <c r="L475" i="1"/>
  <c r="K475" i="1"/>
  <c r="J475" i="1"/>
  <c r="I475" i="1"/>
  <c r="H475" i="1"/>
  <c r="G475" i="1"/>
  <c r="F475" i="1"/>
  <c r="E475" i="1"/>
  <c r="D475" i="1"/>
  <c r="AO474" i="1"/>
  <c r="AN474" i="1"/>
  <c r="AM474" i="1"/>
  <c r="AL474" i="1"/>
  <c r="AK474" i="1"/>
  <c r="AJ474" i="1"/>
  <c r="AI474" i="1"/>
  <c r="AG474" i="1"/>
  <c r="AE474" i="1"/>
  <c r="AD474" i="1"/>
  <c r="AB474" i="1"/>
  <c r="AA474" i="1"/>
  <c r="Z474" i="1"/>
  <c r="X474" i="1"/>
  <c r="W474" i="1"/>
  <c r="V474" i="1"/>
  <c r="S474" i="1"/>
  <c r="R474" i="1"/>
  <c r="Q474" i="1"/>
  <c r="O474" i="1"/>
  <c r="M474" i="1"/>
  <c r="L474" i="1"/>
  <c r="K474" i="1"/>
  <c r="J474" i="1"/>
  <c r="I474" i="1"/>
  <c r="H474" i="1"/>
  <c r="G474" i="1"/>
  <c r="F474" i="1"/>
  <c r="E474" i="1"/>
  <c r="D474" i="1"/>
  <c r="AO473" i="1"/>
  <c r="AN473" i="1"/>
  <c r="AM473" i="1"/>
  <c r="AL473" i="1"/>
  <c r="AK473" i="1"/>
  <c r="AJ473" i="1"/>
  <c r="AI473" i="1"/>
  <c r="AG473" i="1"/>
  <c r="AE473" i="1"/>
  <c r="AD473" i="1"/>
  <c r="AB473" i="1"/>
  <c r="AA473" i="1"/>
  <c r="Z473" i="1"/>
  <c r="X473" i="1"/>
  <c r="W473" i="1"/>
  <c r="V473" i="1"/>
  <c r="S473" i="1"/>
  <c r="R473" i="1"/>
  <c r="Q473" i="1"/>
  <c r="O473" i="1"/>
  <c r="M473" i="1"/>
  <c r="L473" i="1"/>
  <c r="K473" i="1"/>
  <c r="J473" i="1"/>
  <c r="I473" i="1"/>
  <c r="H473" i="1"/>
  <c r="G473" i="1"/>
  <c r="F473" i="1"/>
  <c r="E473" i="1"/>
  <c r="D473" i="1"/>
  <c r="AO472" i="1"/>
  <c r="AN472" i="1"/>
  <c r="AM472" i="1"/>
  <c r="AL472" i="1"/>
  <c r="AK472" i="1"/>
  <c r="AJ472" i="1"/>
  <c r="AI472" i="1"/>
  <c r="AG472" i="1"/>
  <c r="AE472" i="1"/>
  <c r="AD472" i="1"/>
  <c r="AB472" i="1"/>
  <c r="AA472" i="1"/>
  <c r="Z472" i="1"/>
  <c r="X472" i="1"/>
  <c r="W472" i="1"/>
  <c r="V472" i="1"/>
  <c r="S472" i="1"/>
  <c r="R472" i="1"/>
  <c r="Q472" i="1"/>
  <c r="O472" i="1"/>
  <c r="M472" i="1"/>
  <c r="L472" i="1"/>
  <c r="K472" i="1"/>
  <c r="J472" i="1"/>
  <c r="I472" i="1"/>
  <c r="H472" i="1"/>
  <c r="G472" i="1"/>
  <c r="F472" i="1"/>
  <c r="E472" i="1"/>
  <c r="D472" i="1"/>
  <c r="AO471" i="1"/>
  <c r="AN471" i="1"/>
  <c r="AM471" i="1"/>
  <c r="AL471" i="1"/>
  <c r="AK471" i="1"/>
  <c r="AJ471" i="1"/>
  <c r="AI471" i="1"/>
  <c r="AG471" i="1"/>
  <c r="AE471" i="1"/>
  <c r="AD471" i="1"/>
  <c r="AB471" i="1"/>
  <c r="AA471" i="1"/>
  <c r="Z471" i="1"/>
  <c r="X471" i="1"/>
  <c r="W471" i="1"/>
  <c r="V471" i="1"/>
  <c r="S471" i="1"/>
  <c r="R471" i="1"/>
  <c r="Q471" i="1"/>
  <c r="O471" i="1"/>
  <c r="M471" i="1"/>
  <c r="L471" i="1"/>
  <c r="K471" i="1"/>
  <c r="J471" i="1"/>
  <c r="I471" i="1"/>
  <c r="H471" i="1"/>
  <c r="G471" i="1"/>
  <c r="F471" i="1"/>
  <c r="E471" i="1"/>
  <c r="D471" i="1"/>
  <c r="AO470" i="1"/>
  <c r="AN470" i="1"/>
  <c r="AM470" i="1"/>
  <c r="AL470" i="1"/>
  <c r="AK470" i="1"/>
  <c r="AJ470" i="1"/>
  <c r="AI470" i="1"/>
  <c r="AG470" i="1"/>
  <c r="AE470" i="1"/>
  <c r="AD470" i="1"/>
  <c r="AB470" i="1"/>
  <c r="AA470" i="1"/>
  <c r="Z470" i="1"/>
  <c r="X470" i="1"/>
  <c r="W470" i="1"/>
  <c r="V470" i="1"/>
  <c r="S470" i="1"/>
  <c r="R470" i="1"/>
  <c r="Q470" i="1"/>
  <c r="O470" i="1"/>
  <c r="M470" i="1"/>
  <c r="L470" i="1"/>
  <c r="K470" i="1"/>
  <c r="J470" i="1"/>
  <c r="I470" i="1"/>
  <c r="H470" i="1"/>
  <c r="G470" i="1"/>
  <c r="F470" i="1"/>
  <c r="E470" i="1"/>
  <c r="D470" i="1"/>
  <c r="AO469" i="1"/>
  <c r="AN469" i="1"/>
  <c r="AM469" i="1"/>
  <c r="AL469" i="1"/>
  <c r="AK469" i="1"/>
  <c r="AJ469" i="1"/>
  <c r="AI469" i="1"/>
  <c r="AG469" i="1"/>
  <c r="AE469" i="1"/>
  <c r="AD469" i="1"/>
  <c r="AB469" i="1"/>
  <c r="AA469" i="1"/>
  <c r="Z469" i="1"/>
  <c r="X469" i="1"/>
  <c r="W469" i="1"/>
  <c r="V469" i="1"/>
  <c r="S469" i="1"/>
  <c r="R469" i="1"/>
  <c r="Q469" i="1"/>
  <c r="O469" i="1"/>
  <c r="M469" i="1"/>
  <c r="L469" i="1"/>
  <c r="K469" i="1"/>
  <c r="J469" i="1"/>
  <c r="I469" i="1"/>
  <c r="H469" i="1"/>
  <c r="G469" i="1"/>
  <c r="F469" i="1"/>
  <c r="E469" i="1"/>
  <c r="D469" i="1"/>
  <c r="AO468" i="1"/>
  <c r="AN468" i="1"/>
  <c r="AM468" i="1"/>
  <c r="AL468" i="1"/>
  <c r="AK468" i="1"/>
  <c r="AJ468" i="1"/>
  <c r="AI468" i="1"/>
  <c r="AG468" i="1"/>
  <c r="AE468" i="1"/>
  <c r="AD468" i="1"/>
  <c r="AB468" i="1"/>
  <c r="AA468" i="1"/>
  <c r="Z468" i="1"/>
  <c r="X468" i="1"/>
  <c r="W468" i="1"/>
  <c r="V468" i="1"/>
  <c r="S468" i="1"/>
  <c r="R468" i="1"/>
  <c r="Q468" i="1"/>
  <c r="O468" i="1"/>
  <c r="M468" i="1"/>
  <c r="L468" i="1"/>
  <c r="K468" i="1"/>
  <c r="J468" i="1"/>
  <c r="I468" i="1"/>
  <c r="H468" i="1"/>
  <c r="G468" i="1"/>
  <c r="F468" i="1"/>
  <c r="E468" i="1"/>
  <c r="D468" i="1"/>
  <c r="AO467" i="1"/>
  <c r="AN467" i="1"/>
  <c r="AM467" i="1"/>
  <c r="AL467" i="1"/>
  <c r="AK467" i="1"/>
  <c r="AJ467" i="1"/>
  <c r="AI467" i="1"/>
  <c r="AG467" i="1"/>
  <c r="AE467" i="1"/>
  <c r="AD467" i="1"/>
  <c r="AB467" i="1"/>
  <c r="AA467" i="1"/>
  <c r="Z467" i="1"/>
  <c r="X467" i="1"/>
  <c r="W467" i="1"/>
  <c r="V467" i="1"/>
  <c r="S467" i="1"/>
  <c r="R467" i="1"/>
  <c r="Q467" i="1"/>
  <c r="O467" i="1"/>
  <c r="M467" i="1"/>
  <c r="L467" i="1"/>
  <c r="K467" i="1"/>
  <c r="J467" i="1"/>
  <c r="I467" i="1"/>
  <c r="H467" i="1"/>
  <c r="G467" i="1"/>
  <c r="F467" i="1"/>
  <c r="E467" i="1"/>
  <c r="D467" i="1"/>
  <c r="AO466" i="1"/>
  <c r="AN466" i="1"/>
  <c r="AM466" i="1"/>
  <c r="AL466" i="1"/>
  <c r="AK466" i="1"/>
  <c r="AJ466" i="1"/>
  <c r="AI466" i="1"/>
  <c r="AG466" i="1"/>
  <c r="AE466" i="1"/>
  <c r="AD466" i="1"/>
  <c r="AB466" i="1"/>
  <c r="AA466" i="1"/>
  <c r="Z466" i="1"/>
  <c r="X466" i="1"/>
  <c r="W466" i="1"/>
  <c r="V466" i="1"/>
  <c r="S466" i="1"/>
  <c r="R466" i="1"/>
  <c r="Q466" i="1"/>
  <c r="O466" i="1"/>
  <c r="M466" i="1"/>
  <c r="L466" i="1"/>
  <c r="K466" i="1"/>
  <c r="J466" i="1"/>
  <c r="I466" i="1"/>
  <c r="H466" i="1"/>
  <c r="G466" i="1"/>
  <c r="F466" i="1"/>
  <c r="E466" i="1"/>
  <c r="D466" i="1"/>
  <c r="AO465" i="1"/>
  <c r="AN465" i="1"/>
  <c r="AM465" i="1"/>
  <c r="AL465" i="1"/>
  <c r="AK465" i="1"/>
  <c r="AJ465" i="1"/>
  <c r="AI465" i="1"/>
  <c r="AG465" i="1"/>
  <c r="AE465" i="1"/>
  <c r="AD465" i="1"/>
  <c r="AB465" i="1"/>
  <c r="AA465" i="1"/>
  <c r="Z465" i="1"/>
  <c r="X465" i="1"/>
  <c r="W465" i="1"/>
  <c r="V465" i="1"/>
  <c r="S465" i="1"/>
  <c r="R465" i="1"/>
  <c r="Q465" i="1"/>
  <c r="O465" i="1"/>
  <c r="M465" i="1"/>
  <c r="L465" i="1"/>
  <c r="K465" i="1"/>
  <c r="J465" i="1"/>
  <c r="I465" i="1"/>
  <c r="H465" i="1"/>
  <c r="G465" i="1"/>
  <c r="F465" i="1"/>
  <c r="E465" i="1"/>
  <c r="D465" i="1"/>
  <c r="AO464" i="1"/>
  <c r="AN464" i="1"/>
  <c r="AM464" i="1"/>
  <c r="AL464" i="1"/>
  <c r="AK464" i="1"/>
  <c r="AJ464" i="1"/>
  <c r="AI464" i="1"/>
  <c r="AG464" i="1"/>
  <c r="AE464" i="1"/>
  <c r="AD464" i="1"/>
  <c r="AB464" i="1"/>
  <c r="AA464" i="1"/>
  <c r="Z464" i="1"/>
  <c r="X464" i="1"/>
  <c r="W464" i="1"/>
  <c r="V464" i="1"/>
  <c r="S464" i="1"/>
  <c r="R464" i="1"/>
  <c r="Q464" i="1"/>
  <c r="O464" i="1"/>
  <c r="M464" i="1"/>
  <c r="L464" i="1"/>
  <c r="K464" i="1"/>
  <c r="J464" i="1"/>
  <c r="I464" i="1"/>
  <c r="H464" i="1"/>
  <c r="G464" i="1"/>
  <c r="F464" i="1"/>
  <c r="E464" i="1"/>
  <c r="D464" i="1"/>
  <c r="AO463" i="1"/>
  <c r="AN463" i="1"/>
  <c r="AM463" i="1"/>
  <c r="AL463" i="1"/>
  <c r="AK463" i="1"/>
  <c r="AJ463" i="1"/>
  <c r="AI463" i="1"/>
  <c r="AG463" i="1"/>
  <c r="AE463" i="1"/>
  <c r="AD463" i="1"/>
  <c r="AB463" i="1"/>
  <c r="AA463" i="1"/>
  <c r="Z463" i="1"/>
  <c r="X463" i="1"/>
  <c r="W463" i="1"/>
  <c r="V463" i="1"/>
  <c r="S463" i="1"/>
  <c r="R463" i="1"/>
  <c r="Q463" i="1"/>
  <c r="O463" i="1"/>
  <c r="M463" i="1"/>
  <c r="L463" i="1"/>
  <c r="K463" i="1"/>
  <c r="J463" i="1"/>
  <c r="I463" i="1"/>
  <c r="H463" i="1"/>
  <c r="G463" i="1"/>
  <c r="F463" i="1"/>
  <c r="E463" i="1"/>
  <c r="D463" i="1"/>
  <c r="AO462" i="1"/>
  <c r="AN462" i="1"/>
  <c r="AM462" i="1"/>
  <c r="AL462" i="1"/>
  <c r="AK462" i="1"/>
  <c r="AJ462" i="1"/>
  <c r="AI462" i="1"/>
  <c r="AG462" i="1"/>
  <c r="AE462" i="1"/>
  <c r="AD462" i="1"/>
  <c r="AB462" i="1"/>
  <c r="AA462" i="1"/>
  <c r="Z462" i="1"/>
  <c r="X462" i="1"/>
  <c r="W462" i="1"/>
  <c r="V462" i="1"/>
  <c r="S462" i="1"/>
  <c r="R462" i="1"/>
  <c r="Q462" i="1"/>
  <c r="O462" i="1"/>
  <c r="M462" i="1"/>
  <c r="L462" i="1"/>
  <c r="K462" i="1"/>
  <c r="J462" i="1"/>
  <c r="I462" i="1"/>
  <c r="H462" i="1"/>
  <c r="G462" i="1"/>
  <c r="F462" i="1"/>
  <c r="E462" i="1"/>
  <c r="D462" i="1"/>
  <c r="AO461" i="1"/>
  <c r="AN461" i="1"/>
  <c r="AM461" i="1"/>
  <c r="AL461" i="1"/>
  <c r="AK461" i="1"/>
  <c r="AJ461" i="1"/>
  <c r="AI461" i="1"/>
  <c r="AG461" i="1"/>
  <c r="AE461" i="1"/>
  <c r="AD461" i="1"/>
  <c r="AB461" i="1"/>
  <c r="AA461" i="1"/>
  <c r="Z461" i="1"/>
  <c r="X461" i="1"/>
  <c r="W461" i="1"/>
  <c r="V461" i="1"/>
  <c r="S461" i="1"/>
  <c r="R461" i="1"/>
  <c r="Q461" i="1"/>
  <c r="O461" i="1"/>
  <c r="M461" i="1"/>
  <c r="L461" i="1"/>
  <c r="K461" i="1"/>
  <c r="J461" i="1"/>
  <c r="I461" i="1"/>
  <c r="H461" i="1"/>
  <c r="G461" i="1"/>
  <c r="F461" i="1"/>
  <c r="E461" i="1"/>
  <c r="D461" i="1"/>
  <c r="AO460" i="1"/>
  <c r="AN460" i="1"/>
  <c r="AM460" i="1"/>
  <c r="AL460" i="1"/>
  <c r="AK460" i="1"/>
  <c r="AJ460" i="1"/>
  <c r="AI460" i="1"/>
  <c r="AG460" i="1"/>
  <c r="AE460" i="1"/>
  <c r="AD460" i="1"/>
  <c r="AB460" i="1"/>
  <c r="AA460" i="1"/>
  <c r="Z460" i="1"/>
  <c r="X460" i="1"/>
  <c r="W460" i="1"/>
  <c r="V460" i="1"/>
  <c r="S460" i="1"/>
  <c r="R460" i="1"/>
  <c r="Q460" i="1"/>
  <c r="O460" i="1"/>
  <c r="M460" i="1"/>
  <c r="L460" i="1"/>
  <c r="K460" i="1"/>
  <c r="J460" i="1"/>
  <c r="I460" i="1"/>
  <c r="H460" i="1"/>
  <c r="G460" i="1"/>
  <c r="F460" i="1"/>
  <c r="E460" i="1"/>
  <c r="D460" i="1"/>
  <c r="AO459" i="1"/>
  <c r="AN459" i="1"/>
  <c r="AM459" i="1"/>
  <c r="AL459" i="1"/>
  <c r="AK459" i="1"/>
  <c r="AJ459" i="1"/>
  <c r="AI459" i="1"/>
  <c r="AG459" i="1"/>
  <c r="AE459" i="1"/>
  <c r="AD459" i="1"/>
  <c r="AB459" i="1"/>
  <c r="AA459" i="1"/>
  <c r="Z459" i="1"/>
  <c r="X459" i="1"/>
  <c r="W459" i="1"/>
  <c r="V459" i="1"/>
  <c r="S459" i="1"/>
  <c r="R459" i="1"/>
  <c r="Q459" i="1"/>
  <c r="O459" i="1"/>
  <c r="M459" i="1"/>
  <c r="L459" i="1"/>
  <c r="K459" i="1"/>
  <c r="J459" i="1"/>
  <c r="I459" i="1"/>
  <c r="H459" i="1"/>
  <c r="G459" i="1"/>
  <c r="F459" i="1"/>
  <c r="E459" i="1"/>
  <c r="D459" i="1"/>
  <c r="AO458" i="1"/>
  <c r="AN458" i="1"/>
  <c r="AM458" i="1"/>
  <c r="AL458" i="1"/>
  <c r="AK458" i="1"/>
  <c r="AJ458" i="1"/>
  <c r="AI458" i="1"/>
  <c r="AG458" i="1"/>
  <c r="AE458" i="1"/>
  <c r="AD458" i="1"/>
  <c r="AB458" i="1"/>
  <c r="AA458" i="1"/>
  <c r="Z458" i="1"/>
  <c r="X458" i="1"/>
  <c r="W458" i="1"/>
  <c r="V458" i="1"/>
  <c r="S458" i="1"/>
  <c r="R458" i="1"/>
  <c r="Q458" i="1"/>
  <c r="O458" i="1"/>
  <c r="M458" i="1"/>
  <c r="L458" i="1"/>
  <c r="K458" i="1"/>
  <c r="J458" i="1"/>
  <c r="I458" i="1"/>
  <c r="H458" i="1"/>
  <c r="G458" i="1"/>
  <c r="F458" i="1"/>
  <c r="E458" i="1"/>
  <c r="D458" i="1"/>
  <c r="AO457" i="1"/>
  <c r="AN457" i="1"/>
  <c r="AM457" i="1"/>
  <c r="AL457" i="1"/>
  <c r="AK457" i="1"/>
  <c r="AJ457" i="1"/>
  <c r="AI457" i="1"/>
  <c r="AG457" i="1"/>
  <c r="AE457" i="1"/>
  <c r="AD457" i="1"/>
  <c r="AB457" i="1"/>
  <c r="AA457" i="1"/>
  <c r="Z457" i="1"/>
  <c r="X457" i="1"/>
  <c r="W457" i="1"/>
  <c r="V457" i="1"/>
  <c r="S457" i="1"/>
  <c r="R457" i="1"/>
  <c r="Q457" i="1"/>
  <c r="O457" i="1"/>
  <c r="M457" i="1"/>
  <c r="L457" i="1"/>
  <c r="K457" i="1"/>
  <c r="J457" i="1"/>
  <c r="I457" i="1"/>
  <c r="H457" i="1"/>
  <c r="G457" i="1"/>
  <c r="F457" i="1"/>
  <c r="E457" i="1"/>
  <c r="D457" i="1"/>
  <c r="AO456" i="1"/>
  <c r="AN456" i="1"/>
  <c r="AM456" i="1"/>
  <c r="AL456" i="1"/>
  <c r="AK456" i="1"/>
  <c r="AJ456" i="1"/>
  <c r="AI456" i="1"/>
  <c r="AG456" i="1"/>
  <c r="AE456" i="1"/>
  <c r="AD456" i="1"/>
  <c r="AB456" i="1"/>
  <c r="AA456" i="1"/>
  <c r="Z456" i="1"/>
  <c r="X456" i="1"/>
  <c r="W456" i="1"/>
  <c r="V456" i="1"/>
  <c r="S456" i="1"/>
  <c r="R456" i="1"/>
  <c r="Q456" i="1"/>
  <c r="O456" i="1"/>
  <c r="M456" i="1"/>
  <c r="L456" i="1"/>
  <c r="K456" i="1"/>
  <c r="J456" i="1"/>
  <c r="I456" i="1"/>
  <c r="H456" i="1"/>
  <c r="G456" i="1"/>
  <c r="F456" i="1"/>
  <c r="E456" i="1"/>
  <c r="D456" i="1"/>
  <c r="AO455" i="1"/>
  <c r="AN455" i="1"/>
  <c r="AM455" i="1"/>
  <c r="AL455" i="1"/>
  <c r="AK455" i="1"/>
  <c r="AJ455" i="1"/>
  <c r="AI455" i="1"/>
  <c r="AG455" i="1"/>
  <c r="AE455" i="1"/>
  <c r="AD455" i="1"/>
  <c r="AB455" i="1"/>
  <c r="AA455" i="1"/>
  <c r="Z455" i="1"/>
  <c r="X455" i="1"/>
  <c r="W455" i="1"/>
  <c r="V455" i="1"/>
  <c r="S455" i="1"/>
  <c r="R455" i="1"/>
  <c r="Q455" i="1"/>
  <c r="O455" i="1"/>
  <c r="M455" i="1"/>
  <c r="L455" i="1"/>
  <c r="K455" i="1"/>
  <c r="J455" i="1"/>
  <c r="I455" i="1"/>
  <c r="H455" i="1"/>
  <c r="G455" i="1"/>
  <c r="F455" i="1"/>
  <c r="E455" i="1"/>
  <c r="D455" i="1"/>
  <c r="AO454" i="1"/>
  <c r="AN454" i="1"/>
  <c r="AM454" i="1"/>
  <c r="AL454" i="1"/>
  <c r="AK454" i="1"/>
  <c r="AJ454" i="1"/>
  <c r="AI454" i="1"/>
  <c r="AG454" i="1"/>
  <c r="AE454" i="1"/>
  <c r="AD454" i="1"/>
  <c r="AB454" i="1"/>
  <c r="AA454" i="1"/>
  <c r="Z454" i="1"/>
  <c r="X454" i="1"/>
  <c r="W454" i="1"/>
  <c r="V454" i="1"/>
  <c r="S454" i="1"/>
  <c r="R454" i="1"/>
  <c r="Q454" i="1"/>
  <c r="O454" i="1"/>
  <c r="M454" i="1"/>
  <c r="L454" i="1"/>
  <c r="K454" i="1"/>
  <c r="J454" i="1"/>
  <c r="I454" i="1"/>
  <c r="H454" i="1"/>
  <c r="G454" i="1"/>
  <c r="F454" i="1"/>
  <c r="E454" i="1"/>
  <c r="D454" i="1"/>
  <c r="AO453" i="1"/>
  <c r="AN453" i="1"/>
  <c r="AM453" i="1"/>
  <c r="AL453" i="1"/>
  <c r="AK453" i="1"/>
  <c r="AJ453" i="1"/>
  <c r="AI453" i="1"/>
  <c r="AG453" i="1"/>
  <c r="AE453" i="1"/>
  <c r="AD453" i="1"/>
  <c r="AB453" i="1"/>
  <c r="AA453" i="1"/>
  <c r="Z453" i="1"/>
  <c r="X453" i="1"/>
  <c r="W453" i="1"/>
  <c r="V453" i="1"/>
  <c r="S453" i="1"/>
  <c r="R453" i="1"/>
  <c r="Q453" i="1"/>
  <c r="O453" i="1"/>
  <c r="M453" i="1"/>
  <c r="L453" i="1"/>
  <c r="K453" i="1"/>
  <c r="J453" i="1"/>
  <c r="I453" i="1"/>
  <c r="H453" i="1"/>
  <c r="G453" i="1"/>
  <c r="F453" i="1"/>
  <c r="E453" i="1"/>
  <c r="D453" i="1"/>
  <c r="AO452" i="1"/>
  <c r="AN452" i="1"/>
  <c r="AM452" i="1"/>
  <c r="AL452" i="1"/>
  <c r="AK452" i="1"/>
  <c r="AJ452" i="1"/>
  <c r="AI452" i="1"/>
  <c r="AG452" i="1"/>
  <c r="AE452" i="1"/>
  <c r="AD452" i="1"/>
  <c r="AB452" i="1"/>
  <c r="AA452" i="1"/>
  <c r="Z452" i="1"/>
  <c r="X452" i="1"/>
  <c r="W452" i="1"/>
  <c r="V452" i="1"/>
  <c r="S452" i="1"/>
  <c r="R452" i="1"/>
  <c r="Q452" i="1"/>
  <c r="O452" i="1"/>
  <c r="M452" i="1"/>
  <c r="L452" i="1"/>
  <c r="K452" i="1"/>
  <c r="J452" i="1"/>
  <c r="I452" i="1"/>
  <c r="H452" i="1"/>
  <c r="G452" i="1"/>
  <c r="F452" i="1"/>
  <c r="E452" i="1"/>
  <c r="D452" i="1"/>
  <c r="AO451" i="1"/>
  <c r="AN451" i="1"/>
  <c r="AM451" i="1"/>
  <c r="AL451" i="1"/>
  <c r="AK451" i="1"/>
  <c r="AJ451" i="1"/>
  <c r="AI451" i="1"/>
  <c r="AG451" i="1"/>
  <c r="AE451" i="1"/>
  <c r="AD451" i="1"/>
  <c r="AB451" i="1"/>
  <c r="AA451" i="1"/>
  <c r="Z451" i="1"/>
  <c r="X451" i="1"/>
  <c r="W451" i="1"/>
  <c r="V451" i="1"/>
  <c r="S451" i="1"/>
  <c r="R451" i="1"/>
  <c r="Q451" i="1"/>
  <c r="O451" i="1"/>
  <c r="M451" i="1"/>
  <c r="L451" i="1"/>
  <c r="K451" i="1"/>
  <c r="J451" i="1"/>
  <c r="I451" i="1"/>
  <c r="H451" i="1"/>
  <c r="G451" i="1"/>
  <c r="F451" i="1"/>
  <c r="E451" i="1"/>
  <c r="D451" i="1"/>
  <c r="AO450" i="1"/>
  <c r="AN450" i="1"/>
  <c r="AM450" i="1"/>
  <c r="AL450" i="1"/>
  <c r="AK450" i="1"/>
  <c r="AJ450" i="1"/>
  <c r="AI450" i="1"/>
  <c r="AG450" i="1"/>
  <c r="AE450" i="1"/>
  <c r="AD450" i="1"/>
  <c r="AB450" i="1"/>
  <c r="AA450" i="1"/>
  <c r="Z450" i="1"/>
  <c r="X450" i="1"/>
  <c r="W450" i="1"/>
  <c r="V450" i="1"/>
  <c r="S450" i="1"/>
  <c r="R450" i="1"/>
  <c r="Q450" i="1"/>
  <c r="O450" i="1"/>
  <c r="M450" i="1"/>
  <c r="L450" i="1"/>
  <c r="K450" i="1"/>
  <c r="J450" i="1"/>
  <c r="I450" i="1"/>
  <c r="H450" i="1"/>
  <c r="G450" i="1"/>
  <c r="F450" i="1"/>
  <c r="E450" i="1"/>
  <c r="D450" i="1"/>
  <c r="AO449" i="1"/>
  <c r="AN449" i="1"/>
  <c r="AM449" i="1"/>
  <c r="AL449" i="1"/>
  <c r="AK449" i="1"/>
  <c r="AJ449" i="1"/>
  <c r="AI449" i="1"/>
  <c r="AG449" i="1"/>
  <c r="AE449" i="1"/>
  <c r="AD449" i="1"/>
  <c r="AB449" i="1"/>
  <c r="AA449" i="1"/>
  <c r="Z449" i="1"/>
  <c r="X449" i="1"/>
  <c r="W449" i="1"/>
  <c r="V449" i="1"/>
  <c r="S449" i="1"/>
  <c r="R449" i="1"/>
  <c r="Q449" i="1"/>
  <c r="O449" i="1"/>
  <c r="M449" i="1"/>
  <c r="L449" i="1"/>
  <c r="K449" i="1"/>
  <c r="J449" i="1"/>
  <c r="I449" i="1"/>
  <c r="H449" i="1"/>
  <c r="G449" i="1"/>
  <c r="F449" i="1"/>
  <c r="E449" i="1"/>
  <c r="D449" i="1"/>
  <c r="AO448" i="1"/>
  <c r="AN448" i="1"/>
  <c r="AM448" i="1"/>
  <c r="AL448" i="1"/>
  <c r="AK448" i="1"/>
  <c r="AJ448" i="1"/>
  <c r="AI448" i="1"/>
  <c r="AG448" i="1"/>
  <c r="AE448" i="1"/>
  <c r="AD448" i="1"/>
  <c r="AB448" i="1"/>
  <c r="AA448" i="1"/>
  <c r="Z448" i="1"/>
  <c r="X448" i="1"/>
  <c r="W448" i="1"/>
  <c r="V448" i="1"/>
  <c r="S448" i="1"/>
  <c r="R448" i="1"/>
  <c r="Q448" i="1"/>
  <c r="O448" i="1"/>
  <c r="M448" i="1"/>
  <c r="L448" i="1"/>
  <c r="K448" i="1"/>
  <c r="J448" i="1"/>
  <c r="I448" i="1"/>
  <c r="H448" i="1"/>
  <c r="G448" i="1"/>
  <c r="F448" i="1"/>
  <c r="E448" i="1"/>
  <c r="D448" i="1"/>
  <c r="AO447" i="1"/>
  <c r="AN447" i="1"/>
  <c r="AM447" i="1"/>
  <c r="AL447" i="1"/>
  <c r="AK447" i="1"/>
  <c r="AJ447" i="1"/>
  <c r="AI447" i="1"/>
  <c r="AG447" i="1"/>
  <c r="AE447" i="1"/>
  <c r="AD447" i="1"/>
  <c r="AB447" i="1"/>
  <c r="AA447" i="1"/>
  <c r="Z447" i="1"/>
  <c r="X447" i="1"/>
  <c r="W447" i="1"/>
  <c r="V447" i="1"/>
  <c r="S447" i="1"/>
  <c r="R447" i="1"/>
  <c r="Q447" i="1"/>
  <c r="O447" i="1"/>
  <c r="M447" i="1"/>
  <c r="L447" i="1"/>
  <c r="K447" i="1"/>
  <c r="J447" i="1"/>
  <c r="I447" i="1"/>
  <c r="H447" i="1"/>
  <c r="G447" i="1"/>
  <c r="F447" i="1"/>
  <c r="E447" i="1"/>
  <c r="D447" i="1"/>
  <c r="AO446" i="1"/>
  <c r="AN446" i="1"/>
  <c r="AM446" i="1"/>
  <c r="AL446" i="1"/>
  <c r="AK446" i="1"/>
  <c r="AJ446" i="1"/>
  <c r="AI446" i="1"/>
  <c r="AG446" i="1"/>
  <c r="AE446" i="1"/>
  <c r="AD446" i="1"/>
  <c r="AB446" i="1"/>
  <c r="AA446" i="1"/>
  <c r="Z446" i="1"/>
  <c r="X446" i="1"/>
  <c r="W446" i="1"/>
  <c r="V446" i="1"/>
  <c r="S446" i="1"/>
  <c r="R446" i="1"/>
  <c r="Q446" i="1"/>
  <c r="O446" i="1"/>
  <c r="M446" i="1"/>
  <c r="L446" i="1"/>
  <c r="K446" i="1"/>
  <c r="J446" i="1"/>
  <c r="I446" i="1"/>
  <c r="H446" i="1"/>
  <c r="G446" i="1"/>
  <c r="F446" i="1"/>
  <c r="E446" i="1"/>
  <c r="D446" i="1"/>
  <c r="AO445" i="1"/>
  <c r="AN445" i="1"/>
  <c r="AM445" i="1"/>
  <c r="AL445" i="1"/>
  <c r="AK445" i="1"/>
  <c r="AJ445" i="1"/>
  <c r="AI445" i="1"/>
  <c r="AG445" i="1"/>
  <c r="AE445" i="1"/>
  <c r="AD445" i="1"/>
  <c r="AB445" i="1"/>
  <c r="AA445" i="1"/>
  <c r="Z445" i="1"/>
  <c r="X445" i="1"/>
  <c r="W445" i="1"/>
  <c r="V445" i="1"/>
  <c r="S445" i="1"/>
  <c r="R445" i="1"/>
  <c r="Q445" i="1"/>
  <c r="O445" i="1"/>
  <c r="M445" i="1"/>
  <c r="L445" i="1"/>
  <c r="K445" i="1"/>
  <c r="J445" i="1"/>
  <c r="I445" i="1"/>
  <c r="H445" i="1"/>
  <c r="G445" i="1"/>
  <c r="F445" i="1"/>
  <c r="E445" i="1"/>
  <c r="D445" i="1"/>
  <c r="AO444" i="1"/>
  <c r="AN444" i="1"/>
  <c r="AM444" i="1"/>
  <c r="AL444" i="1"/>
  <c r="AK444" i="1"/>
  <c r="AJ444" i="1"/>
  <c r="AI444" i="1"/>
  <c r="AG444" i="1"/>
  <c r="AE444" i="1"/>
  <c r="AD444" i="1"/>
  <c r="AB444" i="1"/>
  <c r="AA444" i="1"/>
  <c r="Z444" i="1"/>
  <c r="X444" i="1"/>
  <c r="W444" i="1"/>
  <c r="V444" i="1"/>
  <c r="S444" i="1"/>
  <c r="R444" i="1"/>
  <c r="Q444" i="1"/>
  <c r="O444" i="1"/>
  <c r="M444" i="1"/>
  <c r="L444" i="1"/>
  <c r="K444" i="1"/>
  <c r="J444" i="1"/>
  <c r="I444" i="1"/>
  <c r="H444" i="1"/>
  <c r="G444" i="1"/>
  <c r="F444" i="1"/>
  <c r="E444" i="1"/>
  <c r="D444" i="1"/>
  <c r="AO443" i="1"/>
  <c r="AN443" i="1"/>
  <c r="AM443" i="1"/>
  <c r="AL443" i="1"/>
  <c r="AK443" i="1"/>
  <c r="AJ443" i="1"/>
  <c r="AI443" i="1"/>
  <c r="AG443" i="1"/>
  <c r="AE443" i="1"/>
  <c r="AD443" i="1"/>
  <c r="AB443" i="1"/>
  <c r="AA443" i="1"/>
  <c r="Z443" i="1"/>
  <c r="X443" i="1"/>
  <c r="W443" i="1"/>
  <c r="V443" i="1"/>
  <c r="S443" i="1"/>
  <c r="R443" i="1"/>
  <c r="Q443" i="1"/>
  <c r="O443" i="1"/>
  <c r="M443" i="1"/>
  <c r="L443" i="1"/>
  <c r="K443" i="1"/>
  <c r="J443" i="1"/>
  <c r="I443" i="1"/>
  <c r="H443" i="1"/>
  <c r="G443" i="1"/>
  <c r="F443" i="1"/>
  <c r="E443" i="1"/>
  <c r="D443" i="1"/>
  <c r="AO442" i="1"/>
  <c r="AN442" i="1"/>
  <c r="AM442" i="1"/>
  <c r="AL442" i="1"/>
  <c r="AK442" i="1"/>
  <c r="AJ442" i="1"/>
  <c r="AI442" i="1"/>
  <c r="AG442" i="1"/>
  <c r="AE442" i="1"/>
  <c r="AD442" i="1"/>
  <c r="AB442" i="1"/>
  <c r="AA442" i="1"/>
  <c r="Z442" i="1"/>
  <c r="X442" i="1"/>
  <c r="W442" i="1"/>
  <c r="V442" i="1"/>
  <c r="S442" i="1"/>
  <c r="R442" i="1"/>
  <c r="Q442" i="1"/>
  <c r="O442" i="1"/>
  <c r="M442" i="1"/>
  <c r="L442" i="1"/>
  <c r="K442" i="1"/>
  <c r="J442" i="1"/>
  <c r="I442" i="1"/>
  <c r="H442" i="1"/>
  <c r="G442" i="1"/>
  <c r="F442" i="1"/>
  <c r="E442" i="1"/>
  <c r="D442" i="1"/>
  <c r="AO441" i="1"/>
  <c r="AN441" i="1"/>
  <c r="AM441" i="1"/>
  <c r="AL441" i="1"/>
  <c r="AK441" i="1"/>
  <c r="AJ441" i="1"/>
  <c r="AI441" i="1"/>
  <c r="AG441" i="1"/>
  <c r="AE441" i="1"/>
  <c r="AD441" i="1"/>
  <c r="AB441" i="1"/>
  <c r="AA441" i="1"/>
  <c r="Z441" i="1"/>
  <c r="X441" i="1"/>
  <c r="W441" i="1"/>
  <c r="V441" i="1"/>
  <c r="S441" i="1"/>
  <c r="R441" i="1"/>
  <c r="Q441" i="1"/>
  <c r="O441" i="1"/>
  <c r="M441" i="1"/>
  <c r="L441" i="1"/>
  <c r="K441" i="1"/>
  <c r="J441" i="1"/>
  <c r="I441" i="1"/>
  <c r="H441" i="1"/>
  <c r="G441" i="1"/>
  <c r="F441" i="1"/>
  <c r="E441" i="1"/>
  <c r="D441" i="1"/>
  <c r="AO440" i="1"/>
  <c r="AN440" i="1"/>
  <c r="AM440" i="1"/>
  <c r="AL440" i="1"/>
  <c r="AK440" i="1"/>
  <c r="AJ440" i="1"/>
  <c r="AI440" i="1"/>
  <c r="AG440" i="1"/>
  <c r="AE440" i="1"/>
  <c r="AD440" i="1"/>
  <c r="AB440" i="1"/>
  <c r="AA440" i="1"/>
  <c r="Z440" i="1"/>
  <c r="X440" i="1"/>
  <c r="W440" i="1"/>
  <c r="V440" i="1"/>
  <c r="S440" i="1"/>
  <c r="R440" i="1"/>
  <c r="Q440" i="1"/>
  <c r="O440" i="1"/>
  <c r="M440" i="1"/>
  <c r="L440" i="1"/>
  <c r="K440" i="1"/>
  <c r="J440" i="1"/>
  <c r="I440" i="1"/>
  <c r="H440" i="1"/>
  <c r="G440" i="1"/>
  <c r="F440" i="1"/>
  <c r="E440" i="1"/>
  <c r="D440" i="1"/>
  <c r="AO439" i="1"/>
  <c r="AN439" i="1"/>
  <c r="AM439" i="1"/>
  <c r="AL439" i="1"/>
  <c r="AK439" i="1"/>
  <c r="AJ439" i="1"/>
  <c r="AI439" i="1"/>
  <c r="AG439" i="1"/>
  <c r="AE439" i="1"/>
  <c r="AD439" i="1"/>
  <c r="AB439" i="1"/>
  <c r="AA439" i="1"/>
  <c r="Z439" i="1"/>
  <c r="X439" i="1"/>
  <c r="W439" i="1"/>
  <c r="V439" i="1"/>
  <c r="S439" i="1"/>
  <c r="R439" i="1"/>
  <c r="Q439" i="1"/>
  <c r="O439" i="1"/>
  <c r="M439" i="1"/>
  <c r="L439" i="1"/>
  <c r="K439" i="1"/>
  <c r="J439" i="1"/>
  <c r="I439" i="1"/>
  <c r="H439" i="1"/>
  <c r="G439" i="1"/>
  <c r="F439" i="1"/>
  <c r="E439" i="1"/>
  <c r="D439" i="1"/>
  <c r="AO438" i="1"/>
  <c r="AN438" i="1"/>
  <c r="AM438" i="1"/>
  <c r="AL438" i="1"/>
  <c r="AK438" i="1"/>
  <c r="AJ438" i="1"/>
  <c r="AI438" i="1"/>
  <c r="AG438" i="1"/>
  <c r="AE438" i="1"/>
  <c r="AD438" i="1"/>
  <c r="AB438" i="1"/>
  <c r="AA438" i="1"/>
  <c r="Z438" i="1"/>
  <c r="X438" i="1"/>
  <c r="W438" i="1"/>
  <c r="V438" i="1"/>
  <c r="S438" i="1"/>
  <c r="R438" i="1"/>
  <c r="Q438" i="1"/>
  <c r="O438" i="1"/>
  <c r="M438" i="1"/>
  <c r="L438" i="1"/>
  <c r="K438" i="1"/>
  <c r="J438" i="1"/>
  <c r="I438" i="1"/>
  <c r="H438" i="1"/>
  <c r="G438" i="1"/>
  <c r="F438" i="1"/>
  <c r="E438" i="1"/>
  <c r="D438" i="1"/>
  <c r="AO437" i="1"/>
  <c r="AN437" i="1"/>
  <c r="AM437" i="1"/>
  <c r="AL437" i="1"/>
  <c r="AK437" i="1"/>
  <c r="AJ437" i="1"/>
  <c r="AI437" i="1"/>
  <c r="AG437" i="1"/>
  <c r="AE437" i="1"/>
  <c r="AD437" i="1"/>
  <c r="AB437" i="1"/>
  <c r="AA437" i="1"/>
  <c r="Z437" i="1"/>
  <c r="X437" i="1"/>
  <c r="W437" i="1"/>
  <c r="V437" i="1"/>
  <c r="S437" i="1"/>
  <c r="R437" i="1"/>
  <c r="Q437" i="1"/>
  <c r="O437" i="1"/>
  <c r="M437" i="1"/>
  <c r="L437" i="1"/>
  <c r="K437" i="1"/>
  <c r="J437" i="1"/>
  <c r="I437" i="1"/>
  <c r="H437" i="1"/>
  <c r="G437" i="1"/>
  <c r="F437" i="1"/>
  <c r="E437" i="1"/>
  <c r="D437" i="1"/>
  <c r="AO436" i="1"/>
  <c r="AN436" i="1"/>
  <c r="AM436" i="1"/>
  <c r="AL436" i="1"/>
  <c r="AK436" i="1"/>
  <c r="AJ436" i="1"/>
  <c r="AI436" i="1"/>
  <c r="AG436" i="1"/>
  <c r="AE436" i="1"/>
  <c r="AD436" i="1"/>
  <c r="AB436" i="1"/>
  <c r="AA436" i="1"/>
  <c r="Z436" i="1"/>
  <c r="X436" i="1"/>
  <c r="W436" i="1"/>
  <c r="V436" i="1"/>
  <c r="S436" i="1"/>
  <c r="R436" i="1"/>
  <c r="Q436" i="1"/>
  <c r="O436" i="1"/>
  <c r="M436" i="1"/>
  <c r="L436" i="1"/>
  <c r="K436" i="1"/>
  <c r="J436" i="1"/>
  <c r="I436" i="1"/>
  <c r="H436" i="1"/>
  <c r="G436" i="1"/>
  <c r="F436" i="1"/>
  <c r="E436" i="1"/>
  <c r="D436" i="1"/>
  <c r="AO435" i="1"/>
  <c r="AN435" i="1"/>
  <c r="AM435" i="1"/>
  <c r="AL435" i="1"/>
  <c r="AK435" i="1"/>
  <c r="AJ435" i="1"/>
  <c r="AI435" i="1"/>
  <c r="AG435" i="1"/>
  <c r="AE435" i="1"/>
  <c r="AD435" i="1"/>
  <c r="AB435" i="1"/>
  <c r="AA435" i="1"/>
  <c r="Z435" i="1"/>
  <c r="X435" i="1"/>
  <c r="W435" i="1"/>
  <c r="V435" i="1"/>
  <c r="S435" i="1"/>
  <c r="R435" i="1"/>
  <c r="Q435" i="1"/>
  <c r="O435" i="1"/>
  <c r="M435" i="1"/>
  <c r="L435" i="1"/>
  <c r="K435" i="1"/>
  <c r="J435" i="1"/>
  <c r="I435" i="1"/>
  <c r="H435" i="1"/>
  <c r="G435" i="1"/>
  <c r="F435" i="1"/>
  <c r="E435" i="1"/>
  <c r="D435" i="1"/>
  <c r="AO434" i="1"/>
  <c r="AN434" i="1"/>
  <c r="AM434" i="1"/>
  <c r="AL434" i="1"/>
  <c r="AK434" i="1"/>
  <c r="AJ434" i="1"/>
  <c r="AI434" i="1"/>
  <c r="AG434" i="1"/>
  <c r="AE434" i="1"/>
  <c r="AD434" i="1"/>
  <c r="AB434" i="1"/>
  <c r="AA434" i="1"/>
  <c r="Z434" i="1"/>
  <c r="X434" i="1"/>
  <c r="W434" i="1"/>
  <c r="V434" i="1"/>
  <c r="S434" i="1"/>
  <c r="R434" i="1"/>
  <c r="Q434" i="1"/>
  <c r="O434" i="1"/>
  <c r="M434" i="1"/>
  <c r="L434" i="1"/>
  <c r="K434" i="1"/>
  <c r="J434" i="1"/>
  <c r="I434" i="1"/>
  <c r="H434" i="1"/>
  <c r="G434" i="1"/>
  <c r="F434" i="1"/>
  <c r="E434" i="1"/>
  <c r="D434" i="1"/>
  <c r="AO433" i="1"/>
  <c r="AN433" i="1"/>
  <c r="AM433" i="1"/>
  <c r="AL433" i="1"/>
  <c r="AK433" i="1"/>
  <c r="AJ433" i="1"/>
  <c r="AI433" i="1"/>
  <c r="AG433" i="1"/>
  <c r="AE433" i="1"/>
  <c r="AD433" i="1"/>
  <c r="AB433" i="1"/>
  <c r="AA433" i="1"/>
  <c r="Z433" i="1"/>
  <c r="X433" i="1"/>
  <c r="W433" i="1"/>
  <c r="V433" i="1"/>
  <c r="S433" i="1"/>
  <c r="R433" i="1"/>
  <c r="Q433" i="1"/>
  <c r="O433" i="1"/>
  <c r="M433" i="1"/>
  <c r="L433" i="1"/>
  <c r="K433" i="1"/>
  <c r="J433" i="1"/>
  <c r="I433" i="1"/>
  <c r="H433" i="1"/>
  <c r="G433" i="1"/>
  <c r="F433" i="1"/>
  <c r="E433" i="1"/>
  <c r="D433" i="1"/>
  <c r="AO432" i="1"/>
  <c r="AN432" i="1"/>
  <c r="AM432" i="1"/>
  <c r="AL432" i="1"/>
  <c r="AK432" i="1"/>
  <c r="AJ432" i="1"/>
  <c r="AI432" i="1"/>
  <c r="AG432" i="1"/>
  <c r="AE432" i="1"/>
  <c r="AD432" i="1"/>
  <c r="AB432" i="1"/>
  <c r="AA432" i="1"/>
  <c r="Z432" i="1"/>
  <c r="X432" i="1"/>
  <c r="W432" i="1"/>
  <c r="V432" i="1"/>
  <c r="S432" i="1"/>
  <c r="R432" i="1"/>
  <c r="Q432" i="1"/>
  <c r="O432" i="1"/>
  <c r="M432" i="1"/>
  <c r="L432" i="1"/>
  <c r="K432" i="1"/>
  <c r="J432" i="1"/>
  <c r="I432" i="1"/>
  <c r="H432" i="1"/>
  <c r="G432" i="1"/>
  <c r="F432" i="1"/>
  <c r="E432" i="1"/>
  <c r="D432" i="1"/>
  <c r="AO431" i="1"/>
  <c r="AN431" i="1"/>
  <c r="AM431" i="1"/>
  <c r="AL431" i="1"/>
  <c r="AK431" i="1"/>
  <c r="AJ431" i="1"/>
  <c r="AI431" i="1"/>
  <c r="AG431" i="1"/>
  <c r="AE431" i="1"/>
  <c r="AD431" i="1"/>
  <c r="AB431" i="1"/>
  <c r="AA431" i="1"/>
  <c r="Z431" i="1"/>
  <c r="X431" i="1"/>
  <c r="W431" i="1"/>
  <c r="V431" i="1"/>
  <c r="S431" i="1"/>
  <c r="R431" i="1"/>
  <c r="Q431" i="1"/>
  <c r="O431" i="1"/>
  <c r="M431" i="1"/>
  <c r="L431" i="1"/>
  <c r="K431" i="1"/>
  <c r="J431" i="1"/>
  <c r="I431" i="1"/>
  <c r="H431" i="1"/>
  <c r="G431" i="1"/>
  <c r="F431" i="1"/>
  <c r="E431" i="1"/>
  <c r="D431" i="1"/>
  <c r="AO430" i="1"/>
  <c r="AN430" i="1"/>
  <c r="AM430" i="1"/>
  <c r="AL430" i="1"/>
  <c r="AK430" i="1"/>
  <c r="AJ430" i="1"/>
  <c r="AI430" i="1"/>
  <c r="AG430" i="1"/>
  <c r="AE430" i="1"/>
  <c r="AD430" i="1"/>
  <c r="AB430" i="1"/>
  <c r="AA430" i="1"/>
  <c r="Z430" i="1"/>
  <c r="X430" i="1"/>
  <c r="W430" i="1"/>
  <c r="V430" i="1"/>
  <c r="S430" i="1"/>
  <c r="R430" i="1"/>
  <c r="Q430" i="1"/>
  <c r="O430" i="1"/>
  <c r="M430" i="1"/>
  <c r="L430" i="1"/>
  <c r="K430" i="1"/>
  <c r="J430" i="1"/>
  <c r="I430" i="1"/>
  <c r="H430" i="1"/>
  <c r="G430" i="1"/>
  <c r="F430" i="1"/>
  <c r="E430" i="1"/>
  <c r="D430" i="1"/>
  <c r="AO429" i="1"/>
  <c r="AN429" i="1"/>
  <c r="AM429" i="1"/>
  <c r="AL429" i="1"/>
  <c r="AK429" i="1"/>
  <c r="AJ429" i="1"/>
  <c r="AI429" i="1"/>
  <c r="AG429" i="1"/>
  <c r="AE429" i="1"/>
  <c r="AD429" i="1"/>
  <c r="AB429" i="1"/>
  <c r="AA429" i="1"/>
  <c r="Z429" i="1"/>
  <c r="X429" i="1"/>
  <c r="W429" i="1"/>
  <c r="V429" i="1"/>
  <c r="S429" i="1"/>
  <c r="R429" i="1"/>
  <c r="Q429" i="1"/>
  <c r="O429" i="1"/>
  <c r="M429" i="1"/>
  <c r="L429" i="1"/>
  <c r="K429" i="1"/>
  <c r="J429" i="1"/>
  <c r="I429" i="1"/>
  <c r="H429" i="1"/>
  <c r="G429" i="1"/>
  <c r="F429" i="1"/>
  <c r="E429" i="1"/>
  <c r="D429" i="1"/>
  <c r="AO428" i="1"/>
  <c r="AN428" i="1"/>
  <c r="AM428" i="1"/>
  <c r="AL428" i="1"/>
  <c r="AK428" i="1"/>
  <c r="AJ428" i="1"/>
  <c r="AI428" i="1"/>
  <c r="AG428" i="1"/>
  <c r="AE428" i="1"/>
  <c r="AD428" i="1"/>
  <c r="AB428" i="1"/>
  <c r="AA428" i="1"/>
  <c r="Z428" i="1"/>
  <c r="X428" i="1"/>
  <c r="W428" i="1"/>
  <c r="V428" i="1"/>
  <c r="S428" i="1"/>
  <c r="R428" i="1"/>
  <c r="Q428" i="1"/>
  <c r="O428" i="1"/>
  <c r="M428" i="1"/>
  <c r="L428" i="1"/>
  <c r="K428" i="1"/>
  <c r="J428" i="1"/>
  <c r="I428" i="1"/>
  <c r="H428" i="1"/>
  <c r="G428" i="1"/>
  <c r="F428" i="1"/>
  <c r="E428" i="1"/>
  <c r="D428" i="1"/>
  <c r="AO427" i="1"/>
  <c r="AN427" i="1"/>
  <c r="AM427" i="1"/>
  <c r="AL427" i="1"/>
  <c r="AK427" i="1"/>
  <c r="AJ427" i="1"/>
  <c r="AI427" i="1"/>
  <c r="AG427" i="1"/>
  <c r="AE427" i="1"/>
  <c r="AD427" i="1"/>
  <c r="AB427" i="1"/>
  <c r="AA427" i="1"/>
  <c r="Z427" i="1"/>
  <c r="X427" i="1"/>
  <c r="W427" i="1"/>
  <c r="V427" i="1"/>
  <c r="S427" i="1"/>
  <c r="R427" i="1"/>
  <c r="Q427" i="1"/>
  <c r="O427" i="1"/>
  <c r="M427" i="1"/>
  <c r="L427" i="1"/>
  <c r="K427" i="1"/>
  <c r="J427" i="1"/>
  <c r="I427" i="1"/>
  <c r="H427" i="1"/>
  <c r="G427" i="1"/>
  <c r="F427" i="1"/>
  <c r="E427" i="1"/>
  <c r="D427" i="1"/>
  <c r="AO426" i="1"/>
  <c r="AN426" i="1"/>
  <c r="AM426" i="1"/>
  <c r="AL426" i="1"/>
  <c r="AK426" i="1"/>
  <c r="AJ426" i="1"/>
  <c r="AI426" i="1"/>
  <c r="AG426" i="1"/>
  <c r="AE426" i="1"/>
  <c r="AD426" i="1"/>
  <c r="AB426" i="1"/>
  <c r="AA426" i="1"/>
  <c r="Z426" i="1"/>
  <c r="X426" i="1"/>
  <c r="W426" i="1"/>
  <c r="V426" i="1"/>
  <c r="S426" i="1"/>
  <c r="R426" i="1"/>
  <c r="Q426" i="1"/>
  <c r="O426" i="1"/>
  <c r="M426" i="1"/>
  <c r="L426" i="1"/>
  <c r="K426" i="1"/>
  <c r="J426" i="1"/>
  <c r="I426" i="1"/>
  <c r="H426" i="1"/>
  <c r="G426" i="1"/>
  <c r="F426" i="1"/>
  <c r="E426" i="1"/>
  <c r="D426" i="1"/>
  <c r="AO425" i="1"/>
  <c r="AN425" i="1"/>
  <c r="AM425" i="1"/>
  <c r="AL425" i="1"/>
  <c r="AK425" i="1"/>
  <c r="AJ425" i="1"/>
  <c r="AI425" i="1"/>
  <c r="AG425" i="1"/>
  <c r="AE425" i="1"/>
  <c r="AD425" i="1"/>
  <c r="AB425" i="1"/>
  <c r="AA425" i="1"/>
  <c r="Z425" i="1"/>
  <c r="X425" i="1"/>
  <c r="W425" i="1"/>
  <c r="V425" i="1"/>
  <c r="S425" i="1"/>
  <c r="R425" i="1"/>
  <c r="Q425" i="1"/>
  <c r="O425" i="1"/>
  <c r="M425" i="1"/>
  <c r="L425" i="1"/>
  <c r="K425" i="1"/>
  <c r="J425" i="1"/>
  <c r="I425" i="1"/>
  <c r="H425" i="1"/>
  <c r="G425" i="1"/>
  <c r="F425" i="1"/>
  <c r="E425" i="1"/>
  <c r="D425" i="1"/>
  <c r="AO424" i="1"/>
  <c r="AN424" i="1"/>
  <c r="AM424" i="1"/>
  <c r="AL424" i="1"/>
  <c r="AK424" i="1"/>
  <c r="AJ424" i="1"/>
  <c r="AI424" i="1"/>
  <c r="AG424" i="1"/>
  <c r="AE424" i="1"/>
  <c r="AD424" i="1"/>
  <c r="AB424" i="1"/>
  <c r="AA424" i="1"/>
  <c r="Z424" i="1"/>
  <c r="X424" i="1"/>
  <c r="W424" i="1"/>
  <c r="V424" i="1"/>
  <c r="S424" i="1"/>
  <c r="R424" i="1"/>
  <c r="Q424" i="1"/>
  <c r="O424" i="1"/>
  <c r="M424" i="1"/>
  <c r="L424" i="1"/>
  <c r="K424" i="1"/>
  <c r="J424" i="1"/>
  <c r="I424" i="1"/>
  <c r="H424" i="1"/>
  <c r="G424" i="1"/>
  <c r="F424" i="1"/>
  <c r="E424" i="1"/>
  <c r="D424" i="1"/>
  <c r="AO423" i="1"/>
  <c r="AN423" i="1"/>
  <c r="AM423" i="1"/>
  <c r="AL423" i="1"/>
  <c r="AK423" i="1"/>
  <c r="AJ423" i="1"/>
  <c r="AI423" i="1"/>
  <c r="AG423" i="1"/>
  <c r="AE423" i="1"/>
  <c r="AD423" i="1"/>
  <c r="AB423" i="1"/>
  <c r="AA423" i="1"/>
  <c r="Z423" i="1"/>
  <c r="X423" i="1"/>
  <c r="W423" i="1"/>
  <c r="V423" i="1"/>
  <c r="S423" i="1"/>
  <c r="R423" i="1"/>
  <c r="Q423" i="1"/>
  <c r="O423" i="1"/>
  <c r="M423" i="1"/>
  <c r="L423" i="1"/>
  <c r="K423" i="1"/>
  <c r="J423" i="1"/>
  <c r="I423" i="1"/>
  <c r="H423" i="1"/>
  <c r="G423" i="1"/>
  <c r="F423" i="1"/>
  <c r="E423" i="1"/>
  <c r="D423" i="1"/>
  <c r="AO422" i="1"/>
  <c r="AN422" i="1"/>
  <c r="AM422" i="1"/>
  <c r="AL422" i="1"/>
  <c r="AK422" i="1"/>
  <c r="AJ422" i="1"/>
  <c r="AI422" i="1"/>
  <c r="AG422" i="1"/>
  <c r="AE422" i="1"/>
  <c r="AD422" i="1"/>
  <c r="AB422" i="1"/>
  <c r="AA422" i="1"/>
  <c r="Z422" i="1"/>
  <c r="X422" i="1"/>
  <c r="W422" i="1"/>
  <c r="V422" i="1"/>
  <c r="S422" i="1"/>
  <c r="R422" i="1"/>
  <c r="Q422" i="1"/>
  <c r="O422" i="1"/>
  <c r="M422" i="1"/>
  <c r="L422" i="1"/>
  <c r="K422" i="1"/>
  <c r="J422" i="1"/>
  <c r="I422" i="1"/>
  <c r="H422" i="1"/>
  <c r="G422" i="1"/>
  <c r="F422" i="1"/>
  <c r="E422" i="1"/>
  <c r="D422" i="1"/>
  <c r="AO421" i="1"/>
  <c r="AN421" i="1"/>
  <c r="AM421" i="1"/>
  <c r="AL421" i="1"/>
  <c r="AK421" i="1"/>
  <c r="AJ421" i="1"/>
  <c r="AI421" i="1"/>
  <c r="AG421" i="1"/>
  <c r="AE421" i="1"/>
  <c r="AD421" i="1"/>
  <c r="AB421" i="1"/>
  <c r="AA421" i="1"/>
  <c r="Z421" i="1"/>
  <c r="X421" i="1"/>
  <c r="W421" i="1"/>
  <c r="V421" i="1"/>
  <c r="S421" i="1"/>
  <c r="R421" i="1"/>
  <c r="Q421" i="1"/>
  <c r="O421" i="1"/>
  <c r="M421" i="1"/>
  <c r="L421" i="1"/>
  <c r="K421" i="1"/>
  <c r="J421" i="1"/>
  <c r="I421" i="1"/>
  <c r="H421" i="1"/>
  <c r="G421" i="1"/>
  <c r="F421" i="1"/>
  <c r="E421" i="1"/>
  <c r="D421" i="1"/>
  <c r="AO420" i="1"/>
  <c r="AN420" i="1"/>
  <c r="AM420" i="1"/>
  <c r="AL420" i="1"/>
  <c r="AK420" i="1"/>
  <c r="AJ420" i="1"/>
  <c r="AI420" i="1"/>
  <c r="AG420" i="1"/>
  <c r="AE420" i="1"/>
  <c r="AD420" i="1"/>
  <c r="AB420" i="1"/>
  <c r="AA420" i="1"/>
  <c r="Z420" i="1"/>
  <c r="X420" i="1"/>
  <c r="W420" i="1"/>
  <c r="V420" i="1"/>
  <c r="S420" i="1"/>
  <c r="R420" i="1"/>
  <c r="Q420" i="1"/>
  <c r="O420" i="1"/>
  <c r="M420" i="1"/>
  <c r="L420" i="1"/>
  <c r="K420" i="1"/>
  <c r="J420" i="1"/>
  <c r="I420" i="1"/>
  <c r="H420" i="1"/>
  <c r="G420" i="1"/>
  <c r="F420" i="1"/>
  <c r="E420" i="1"/>
  <c r="D420" i="1"/>
  <c r="AO419" i="1"/>
  <c r="AN419" i="1"/>
  <c r="AM419" i="1"/>
  <c r="AL419" i="1"/>
  <c r="AK419" i="1"/>
  <c r="AJ419" i="1"/>
  <c r="AI419" i="1"/>
  <c r="AG419" i="1"/>
  <c r="AE419" i="1"/>
  <c r="AD419" i="1"/>
  <c r="AB419" i="1"/>
  <c r="AA419" i="1"/>
  <c r="Z419" i="1"/>
  <c r="X419" i="1"/>
  <c r="W419" i="1"/>
  <c r="V419" i="1"/>
  <c r="S419" i="1"/>
  <c r="R419" i="1"/>
  <c r="Q419" i="1"/>
  <c r="O419" i="1"/>
  <c r="M419" i="1"/>
  <c r="L419" i="1"/>
  <c r="K419" i="1"/>
  <c r="J419" i="1"/>
  <c r="I419" i="1"/>
  <c r="H419" i="1"/>
  <c r="G419" i="1"/>
  <c r="F419" i="1"/>
  <c r="E419" i="1"/>
  <c r="D419" i="1"/>
  <c r="AO418" i="1"/>
  <c r="AN418" i="1"/>
  <c r="AM418" i="1"/>
  <c r="AL418" i="1"/>
  <c r="AK418" i="1"/>
  <c r="AJ418" i="1"/>
  <c r="AI418" i="1"/>
  <c r="AG418" i="1"/>
  <c r="AE418" i="1"/>
  <c r="AD418" i="1"/>
  <c r="AB418" i="1"/>
  <c r="AA418" i="1"/>
  <c r="Z418" i="1"/>
  <c r="X418" i="1"/>
  <c r="W418" i="1"/>
  <c r="V418" i="1"/>
  <c r="S418" i="1"/>
  <c r="R418" i="1"/>
  <c r="Q418" i="1"/>
  <c r="O418" i="1"/>
  <c r="M418" i="1"/>
  <c r="L418" i="1"/>
  <c r="K418" i="1"/>
  <c r="J418" i="1"/>
  <c r="I418" i="1"/>
  <c r="H418" i="1"/>
  <c r="G418" i="1"/>
  <c r="F418" i="1"/>
  <c r="E418" i="1"/>
  <c r="D418" i="1"/>
  <c r="AO417" i="1"/>
  <c r="AN417" i="1"/>
  <c r="AM417" i="1"/>
  <c r="AL417" i="1"/>
  <c r="AK417" i="1"/>
  <c r="AJ417" i="1"/>
  <c r="AI417" i="1"/>
  <c r="AG417" i="1"/>
  <c r="AE417" i="1"/>
  <c r="AD417" i="1"/>
  <c r="AB417" i="1"/>
  <c r="AA417" i="1"/>
  <c r="Z417" i="1"/>
  <c r="X417" i="1"/>
  <c r="W417" i="1"/>
  <c r="V417" i="1"/>
  <c r="S417" i="1"/>
  <c r="R417" i="1"/>
  <c r="Q417" i="1"/>
  <c r="O417" i="1"/>
  <c r="M417" i="1"/>
  <c r="L417" i="1"/>
  <c r="K417" i="1"/>
  <c r="J417" i="1"/>
  <c r="I417" i="1"/>
  <c r="H417" i="1"/>
  <c r="G417" i="1"/>
  <c r="F417" i="1"/>
  <c r="E417" i="1"/>
  <c r="D417" i="1"/>
  <c r="AO416" i="1"/>
  <c r="AN416" i="1"/>
  <c r="AM416" i="1"/>
  <c r="AL416" i="1"/>
  <c r="AK416" i="1"/>
  <c r="AJ416" i="1"/>
  <c r="AI416" i="1"/>
  <c r="AG416" i="1"/>
  <c r="AE416" i="1"/>
  <c r="AD416" i="1"/>
  <c r="AB416" i="1"/>
  <c r="AA416" i="1"/>
  <c r="Z416" i="1"/>
  <c r="X416" i="1"/>
  <c r="W416" i="1"/>
  <c r="V416" i="1"/>
  <c r="S416" i="1"/>
  <c r="R416" i="1"/>
  <c r="Q416" i="1"/>
  <c r="O416" i="1"/>
  <c r="M416" i="1"/>
  <c r="L416" i="1"/>
  <c r="K416" i="1"/>
  <c r="J416" i="1"/>
  <c r="I416" i="1"/>
  <c r="H416" i="1"/>
  <c r="G416" i="1"/>
  <c r="F416" i="1"/>
  <c r="E416" i="1"/>
  <c r="D416" i="1"/>
  <c r="AO415" i="1"/>
  <c r="AN415" i="1"/>
  <c r="AM415" i="1"/>
  <c r="AL415" i="1"/>
  <c r="AK415" i="1"/>
  <c r="AJ415" i="1"/>
  <c r="AI415" i="1"/>
  <c r="AG415" i="1"/>
  <c r="AE415" i="1"/>
  <c r="AD415" i="1"/>
  <c r="AB415" i="1"/>
  <c r="AA415" i="1"/>
  <c r="Z415" i="1"/>
  <c r="X415" i="1"/>
  <c r="W415" i="1"/>
  <c r="V415" i="1"/>
  <c r="S415" i="1"/>
  <c r="R415" i="1"/>
  <c r="Q415" i="1"/>
  <c r="O415" i="1"/>
  <c r="M415" i="1"/>
  <c r="L415" i="1"/>
  <c r="K415" i="1"/>
  <c r="J415" i="1"/>
  <c r="I415" i="1"/>
  <c r="H415" i="1"/>
  <c r="G415" i="1"/>
  <c r="F415" i="1"/>
  <c r="E415" i="1"/>
  <c r="D415" i="1"/>
  <c r="AO414" i="1"/>
  <c r="AN414" i="1"/>
  <c r="AM414" i="1"/>
  <c r="AL414" i="1"/>
  <c r="AK414" i="1"/>
  <c r="AJ414" i="1"/>
  <c r="AI414" i="1"/>
  <c r="AG414" i="1"/>
  <c r="AE414" i="1"/>
  <c r="AD414" i="1"/>
  <c r="AB414" i="1"/>
  <c r="AA414" i="1"/>
  <c r="Z414" i="1"/>
  <c r="X414" i="1"/>
  <c r="W414" i="1"/>
  <c r="V414" i="1"/>
  <c r="S414" i="1"/>
  <c r="R414" i="1"/>
  <c r="Q414" i="1"/>
  <c r="O414" i="1"/>
  <c r="M414" i="1"/>
  <c r="L414" i="1"/>
  <c r="K414" i="1"/>
  <c r="J414" i="1"/>
  <c r="I414" i="1"/>
  <c r="H414" i="1"/>
  <c r="G414" i="1"/>
  <c r="F414" i="1"/>
  <c r="E414" i="1"/>
  <c r="D414" i="1"/>
  <c r="AO413" i="1"/>
  <c r="AN413" i="1"/>
  <c r="AM413" i="1"/>
  <c r="AL413" i="1"/>
  <c r="AK413" i="1"/>
  <c r="AJ413" i="1"/>
  <c r="AI413" i="1"/>
  <c r="AG413" i="1"/>
  <c r="AE413" i="1"/>
  <c r="AD413" i="1"/>
  <c r="AB413" i="1"/>
  <c r="AA413" i="1"/>
  <c r="Z413" i="1"/>
  <c r="X413" i="1"/>
  <c r="W413" i="1"/>
  <c r="V413" i="1"/>
  <c r="S413" i="1"/>
  <c r="R413" i="1"/>
  <c r="Q413" i="1"/>
  <c r="O413" i="1"/>
  <c r="M413" i="1"/>
  <c r="L413" i="1"/>
  <c r="K413" i="1"/>
  <c r="J413" i="1"/>
  <c r="I413" i="1"/>
  <c r="H413" i="1"/>
  <c r="G413" i="1"/>
  <c r="F413" i="1"/>
  <c r="E413" i="1"/>
  <c r="D413" i="1"/>
  <c r="AO412" i="1"/>
  <c r="AN412" i="1"/>
  <c r="AM412" i="1"/>
  <c r="AL412" i="1"/>
  <c r="AK412" i="1"/>
  <c r="AJ412" i="1"/>
  <c r="AI412" i="1"/>
  <c r="AG412" i="1"/>
  <c r="AE412" i="1"/>
  <c r="AD412" i="1"/>
  <c r="AB412" i="1"/>
  <c r="AA412" i="1"/>
  <c r="Z412" i="1"/>
  <c r="X412" i="1"/>
  <c r="W412" i="1"/>
  <c r="V412" i="1"/>
  <c r="S412" i="1"/>
  <c r="R412" i="1"/>
  <c r="Q412" i="1"/>
  <c r="O412" i="1"/>
  <c r="M412" i="1"/>
  <c r="L412" i="1"/>
  <c r="K412" i="1"/>
  <c r="J412" i="1"/>
  <c r="I412" i="1"/>
  <c r="H412" i="1"/>
  <c r="G412" i="1"/>
  <c r="F412" i="1"/>
  <c r="E412" i="1"/>
  <c r="D412" i="1"/>
  <c r="AO411" i="1"/>
  <c r="AN411" i="1"/>
  <c r="AM411" i="1"/>
  <c r="AL411" i="1"/>
  <c r="AK411" i="1"/>
  <c r="AJ411" i="1"/>
  <c r="AI411" i="1"/>
  <c r="AG411" i="1"/>
  <c r="AE411" i="1"/>
  <c r="AD411" i="1"/>
  <c r="AB411" i="1"/>
  <c r="AA411" i="1"/>
  <c r="Z411" i="1"/>
  <c r="X411" i="1"/>
  <c r="W411" i="1"/>
  <c r="V411" i="1"/>
  <c r="S411" i="1"/>
  <c r="R411" i="1"/>
  <c r="Q411" i="1"/>
  <c r="O411" i="1"/>
  <c r="M411" i="1"/>
  <c r="L411" i="1"/>
  <c r="K411" i="1"/>
  <c r="J411" i="1"/>
  <c r="I411" i="1"/>
  <c r="H411" i="1"/>
  <c r="G411" i="1"/>
  <c r="F411" i="1"/>
  <c r="E411" i="1"/>
  <c r="D411" i="1"/>
  <c r="AO410" i="1"/>
  <c r="AN410" i="1"/>
  <c r="AM410" i="1"/>
  <c r="AL410" i="1"/>
  <c r="AK410" i="1"/>
  <c r="AJ410" i="1"/>
  <c r="AI410" i="1"/>
  <c r="AG410" i="1"/>
  <c r="AE410" i="1"/>
  <c r="AD410" i="1"/>
  <c r="AB410" i="1"/>
  <c r="AA410" i="1"/>
  <c r="Z410" i="1"/>
  <c r="X410" i="1"/>
  <c r="W410" i="1"/>
  <c r="V410" i="1"/>
  <c r="S410" i="1"/>
  <c r="R410" i="1"/>
  <c r="Q410" i="1"/>
  <c r="O410" i="1"/>
  <c r="M410" i="1"/>
  <c r="L410" i="1"/>
  <c r="K410" i="1"/>
  <c r="J410" i="1"/>
  <c r="I410" i="1"/>
  <c r="H410" i="1"/>
  <c r="G410" i="1"/>
  <c r="F410" i="1"/>
  <c r="E410" i="1"/>
  <c r="D410" i="1"/>
  <c r="AO409" i="1"/>
  <c r="AN409" i="1"/>
  <c r="AM409" i="1"/>
  <c r="AL409" i="1"/>
  <c r="AK409" i="1"/>
  <c r="AJ409" i="1"/>
  <c r="AI409" i="1"/>
  <c r="AG409" i="1"/>
  <c r="AE409" i="1"/>
  <c r="AD409" i="1"/>
  <c r="AB409" i="1"/>
  <c r="AA409" i="1"/>
  <c r="Z409" i="1"/>
  <c r="X409" i="1"/>
  <c r="W409" i="1"/>
  <c r="V409" i="1"/>
  <c r="S409" i="1"/>
  <c r="R409" i="1"/>
  <c r="Q409" i="1"/>
  <c r="O409" i="1"/>
  <c r="M409" i="1"/>
  <c r="L409" i="1"/>
  <c r="K409" i="1"/>
  <c r="J409" i="1"/>
  <c r="I409" i="1"/>
  <c r="H409" i="1"/>
  <c r="G409" i="1"/>
  <c r="F409" i="1"/>
  <c r="E409" i="1"/>
  <c r="D409" i="1"/>
  <c r="AO408" i="1"/>
  <c r="AN408" i="1"/>
  <c r="AM408" i="1"/>
  <c r="AL408" i="1"/>
  <c r="AK408" i="1"/>
  <c r="AJ408" i="1"/>
  <c r="AI408" i="1"/>
  <c r="AG408" i="1"/>
  <c r="AE408" i="1"/>
  <c r="AD408" i="1"/>
  <c r="AB408" i="1"/>
  <c r="AA408" i="1"/>
  <c r="Z408" i="1"/>
  <c r="X408" i="1"/>
  <c r="W408" i="1"/>
  <c r="V408" i="1"/>
  <c r="S408" i="1"/>
  <c r="R408" i="1"/>
  <c r="Q408" i="1"/>
  <c r="O408" i="1"/>
  <c r="M408" i="1"/>
  <c r="L408" i="1"/>
  <c r="K408" i="1"/>
  <c r="J408" i="1"/>
  <c r="I408" i="1"/>
  <c r="H408" i="1"/>
  <c r="G408" i="1"/>
  <c r="F408" i="1"/>
  <c r="E408" i="1"/>
  <c r="D408" i="1"/>
  <c r="AO407" i="1"/>
  <c r="AN407" i="1"/>
  <c r="AM407" i="1"/>
  <c r="AL407" i="1"/>
  <c r="AK407" i="1"/>
  <c r="AJ407" i="1"/>
  <c r="AI407" i="1"/>
  <c r="AG407" i="1"/>
  <c r="AE407" i="1"/>
  <c r="AD407" i="1"/>
  <c r="AB407" i="1"/>
  <c r="AA407" i="1"/>
  <c r="Z407" i="1"/>
  <c r="X407" i="1"/>
  <c r="W407" i="1"/>
  <c r="V407" i="1"/>
  <c r="S407" i="1"/>
  <c r="R407" i="1"/>
  <c r="Q407" i="1"/>
  <c r="O407" i="1"/>
  <c r="M407" i="1"/>
  <c r="L407" i="1"/>
  <c r="K407" i="1"/>
  <c r="J407" i="1"/>
  <c r="I407" i="1"/>
  <c r="H407" i="1"/>
  <c r="G407" i="1"/>
  <c r="F407" i="1"/>
  <c r="E407" i="1"/>
  <c r="D407" i="1"/>
  <c r="AO406" i="1"/>
  <c r="AN406" i="1"/>
  <c r="AM406" i="1"/>
  <c r="AL406" i="1"/>
  <c r="AK406" i="1"/>
  <c r="AJ406" i="1"/>
  <c r="AI406" i="1"/>
  <c r="AG406" i="1"/>
  <c r="AE406" i="1"/>
  <c r="AD406" i="1"/>
  <c r="AB406" i="1"/>
  <c r="AA406" i="1"/>
  <c r="Z406" i="1"/>
  <c r="X406" i="1"/>
  <c r="W406" i="1"/>
  <c r="V406" i="1"/>
  <c r="S406" i="1"/>
  <c r="R406" i="1"/>
  <c r="Q406" i="1"/>
  <c r="O406" i="1"/>
  <c r="M406" i="1"/>
  <c r="L406" i="1"/>
  <c r="K406" i="1"/>
  <c r="J406" i="1"/>
  <c r="I406" i="1"/>
  <c r="H406" i="1"/>
  <c r="G406" i="1"/>
  <c r="F406" i="1"/>
  <c r="E406" i="1"/>
  <c r="D406" i="1"/>
  <c r="AO405" i="1"/>
  <c r="AN405" i="1"/>
  <c r="AM405" i="1"/>
  <c r="AL405" i="1"/>
  <c r="AK405" i="1"/>
  <c r="AJ405" i="1"/>
  <c r="AI405" i="1"/>
  <c r="AG405" i="1"/>
  <c r="AE405" i="1"/>
  <c r="AD405" i="1"/>
  <c r="AB405" i="1"/>
  <c r="AA405" i="1"/>
  <c r="Z405" i="1"/>
  <c r="X405" i="1"/>
  <c r="W405" i="1"/>
  <c r="V405" i="1"/>
  <c r="S405" i="1"/>
  <c r="R405" i="1"/>
  <c r="Q405" i="1"/>
  <c r="O405" i="1"/>
  <c r="M405" i="1"/>
  <c r="L405" i="1"/>
  <c r="K405" i="1"/>
  <c r="J405" i="1"/>
  <c r="I405" i="1"/>
  <c r="H405" i="1"/>
  <c r="G405" i="1"/>
  <c r="F405" i="1"/>
  <c r="E405" i="1"/>
  <c r="D405" i="1"/>
  <c r="AO404" i="1"/>
  <c r="AN404" i="1"/>
  <c r="AM404" i="1"/>
  <c r="AL404" i="1"/>
  <c r="AK404" i="1"/>
  <c r="AJ404" i="1"/>
  <c r="AI404" i="1"/>
  <c r="AG404" i="1"/>
  <c r="AE404" i="1"/>
  <c r="AD404" i="1"/>
  <c r="AB404" i="1"/>
  <c r="AA404" i="1"/>
  <c r="Z404" i="1"/>
  <c r="X404" i="1"/>
  <c r="W404" i="1"/>
  <c r="V404" i="1"/>
  <c r="S404" i="1"/>
  <c r="R404" i="1"/>
  <c r="Q404" i="1"/>
  <c r="O404" i="1"/>
  <c r="M404" i="1"/>
  <c r="L404" i="1"/>
  <c r="K404" i="1"/>
  <c r="J404" i="1"/>
  <c r="I404" i="1"/>
  <c r="H404" i="1"/>
  <c r="G404" i="1"/>
  <c r="F404" i="1"/>
  <c r="E404" i="1"/>
  <c r="D404" i="1"/>
  <c r="AO403" i="1"/>
  <c r="AN403" i="1"/>
  <c r="AM403" i="1"/>
  <c r="AL403" i="1"/>
  <c r="AK403" i="1"/>
  <c r="AJ403" i="1"/>
  <c r="AI403" i="1"/>
  <c r="AG403" i="1"/>
  <c r="AE403" i="1"/>
  <c r="AD403" i="1"/>
  <c r="AB403" i="1"/>
  <c r="AA403" i="1"/>
  <c r="Z403" i="1"/>
  <c r="X403" i="1"/>
  <c r="W403" i="1"/>
  <c r="V403" i="1"/>
  <c r="S403" i="1"/>
  <c r="R403" i="1"/>
  <c r="Q403" i="1"/>
  <c r="O403" i="1"/>
  <c r="M403" i="1"/>
  <c r="L403" i="1"/>
  <c r="K403" i="1"/>
  <c r="J403" i="1"/>
  <c r="I403" i="1"/>
  <c r="H403" i="1"/>
  <c r="G403" i="1"/>
  <c r="F403" i="1"/>
  <c r="E403" i="1"/>
  <c r="D403" i="1"/>
  <c r="AO402" i="1"/>
  <c r="AN402" i="1"/>
  <c r="AM402" i="1"/>
  <c r="AL402" i="1"/>
  <c r="AK402" i="1"/>
  <c r="AJ402" i="1"/>
  <c r="AI402" i="1"/>
  <c r="AG402" i="1"/>
  <c r="AE402" i="1"/>
  <c r="AD402" i="1"/>
  <c r="AB402" i="1"/>
  <c r="AA402" i="1"/>
  <c r="Z402" i="1"/>
  <c r="X402" i="1"/>
  <c r="W402" i="1"/>
  <c r="V402" i="1"/>
  <c r="S402" i="1"/>
  <c r="R402" i="1"/>
  <c r="Q402" i="1"/>
  <c r="O402" i="1"/>
  <c r="M402" i="1"/>
  <c r="L402" i="1"/>
  <c r="K402" i="1"/>
  <c r="J402" i="1"/>
  <c r="I402" i="1"/>
  <c r="H402" i="1"/>
  <c r="G402" i="1"/>
  <c r="F402" i="1"/>
  <c r="E402" i="1"/>
  <c r="D402" i="1"/>
  <c r="AO401" i="1"/>
  <c r="AN401" i="1"/>
  <c r="AM401" i="1"/>
  <c r="AL401" i="1"/>
  <c r="AK401" i="1"/>
  <c r="AJ401" i="1"/>
  <c r="AI401" i="1"/>
  <c r="AG401" i="1"/>
  <c r="AE401" i="1"/>
  <c r="AD401" i="1"/>
  <c r="AB401" i="1"/>
  <c r="AA401" i="1"/>
  <c r="Z401" i="1"/>
  <c r="X401" i="1"/>
  <c r="W401" i="1"/>
  <c r="V401" i="1"/>
  <c r="S401" i="1"/>
  <c r="R401" i="1"/>
  <c r="Q401" i="1"/>
  <c r="O401" i="1"/>
  <c r="M401" i="1"/>
  <c r="L401" i="1"/>
  <c r="K401" i="1"/>
  <c r="J401" i="1"/>
  <c r="I401" i="1"/>
  <c r="H401" i="1"/>
  <c r="G401" i="1"/>
  <c r="F401" i="1"/>
  <c r="E401" i="1"/>
  <c r="D401" i="1"/>
  <c r="AO400" i="1"/>
  <c r="AN400" i="1"/>
  <c r="AM400" i="1"/>
  <c r="AL400" i="1"/>
  <c r="AK400" i="1"/>
  <c r="AJ400" i="1"/>
  <c r="AI400" i="1"/>
  <c r="AG400" i="1"/>
  <c r="AE400" i="1"/>
  <c r="AD400" i="1"/>
  <c r="AB400" i="1"/>
  <c r="AA400" i="1"/>
  <c r="Z400" i="1"/>
  <c r="X400" i="1"/>
  <c r="W400" i="1"/>
  <c r="V400" i="1"/>
  <c r="S400" i="1"/>
  <c r="R400" i="1"/>
  <c r="Q400" i="1"/>
  <c r="O400" i="1"/>
  <c r="M400" i="1"/>
  <c r="L400" i="1"/>
  <c r="K400" i="1"/>
  <c r="J400" i="1"/>
  <c r="I400" i="1"/>
  <c r="H400" i="1"/>
  <c r="G400" i="1"/>
  <c r="F400" i="1"/>
  <c r="E400" i="1"/>
  <c r="D400" i="1"/>
  <c r="AO399" i="1"/>
  <c r="AN399" i="1"/>
  <c r="AM399" i="1"/>
  <c r="AL399" i="1"/>
  <c r="AK399" i="1"/>
  <c r="AJ399" i="1"/>
  <c r="AI399" i="1"/>
  <c r="AG399" i="1"/>
  <c r="AE399" i="1"/>
  <c r="AD399" i="1"/>
  <c r="AB399" i="1"/>
  <c r="AA399" i="1"/>
  <c r="Z399" i="1"/>
  <c r="X399" i="1"/>
  <c r="W399" i="1"/>
  <c r="V399" i="1"/>
  <c r="S399" i="1"/>
  <c r="R399" i="1"/>
  <c r="Q399" i="1"/>
  <c r="O399" i="1"/>
  <c r="M399" i="1"/>
  <c r="L399" i="1"/>
  <c r="K399" i="1"/>
  <c r="J399" i="1"/>
  <c r="I399" i="1"/>
  <c r="H399" i="1"/>
  <c r="G399" i="1"/>
  <c r="F399" i="1"/>
  <c r="E399" i="1"/>
  <c r="D399" i="1"/>
  <c r="AO398" i="1"/>
  <c r="AN398" i="1"/>
  <c r="AM398" i="1"/>
  <c r="AL398" i="1"/>
  <c r="AK398" i="1"/>
  <c r="AJ398" i="1"/>
  <c r="AI398" i="1"/>
  <c r="AG398" i="1"/>
  <c r="AE398" i="1"/>
  <c r="AD398" i="1"/>
  <c r="AB398" i="1"/>
  <c r="AA398" i="1"/>
  <c r="Z398" i="1"/>
  <c r="X398" i="1"/>
  <c r="W398" i="1"/>
  <c r="V398" i="1"/>
  <c r="S398" i="1"/>
  <c r="R398" i="1"/>
  <c r="Q398" i="1"/>
  <c r="O398" i="1"/>
  <c r="M398" i="1"/>
  <c r="L398" i="1"/>
  <c r="K398" i="1"/>
  <c r="J398" i="1"/>
  <c r="I398" i="1"/>
  <c r="H398" i="1"/>
  <c r="G398" i="1"/>
  <c r="F398" i="1"/>
  <c r="E398" i="1"/>
  <c r="D398" i="1"/>
  <c r="AO397" i="1"/>
  <c r="AN397" i="1"/>
  <c r="AM397" i="1"/>
  <c r="AL397" i="1"/>
  <c r="AK397" i="1"/>
  <c r="AJ397" i="1"/>
  <c r="AI397" i="1"/>
  <c r="AG397" i="1"/>
  <c r="AE397" i="1"/>
  <c r="AD397" i="1"/>
  <c r="AB397" i="1"/>
  <c r="AA397" i="1"/>
  <c r="Z397" i="1"/>
  <c r="X397" i="1"/>
  <c r="W397" i="1"/>
  <c r="V397" i="1"/>
  <c r="S397" i="1"/>
  <c r="R397" i="1"/>
  <c r="Q397" i="1"/>
  <c r="O397" i="1"/>
  <c r="M397" i="1"/>
  <c r="L397" i="1"/>
  <c r="K397" i="1"/>
  <c r="J397" i="1"/>
  <c r="I397" i="1"/>
  <c r="H397" i="1"/>
  <c r="G397" i="1"/>
  <c r="F397" i="1"/>
  <c r="E397" i="1"/>
  <c r="D397" i="1"/>
  <c r="AO396" i="1"/>
  <c r="AN396" i="1"/>
  <c r="AM396" i="1"/>
  <c r="AL396" i="1"/>
  <c r="AK396" i="1"/>
  <c r="AJ396" i="1"/>
  <c r="AI396" i="1"/>
  <c r="AG396" i="1"/>
  <c r="AE396" i="1"/>
  <c r="AD396" i="1"/>
  <c r="AB396" i="1"/>
  <c r="AA396" i="1"/>
  <c r="Z396" i="1"/>
  <c r="X396" i="1"/>
  <c r="W396" i="1"/>
  <c r="V396" i="1"/>
  <c r="S396" i="1"/>
  <c r="R396" i="1"/>
  <c r="Q396" i="1"/>
  <c r="O396" i="1"/>
  <c r="M396" i="1"/>
  <c r="L396" i="1"/>
  <c r="K396" i="1"/>
  <c r="J396" i="1"/>
  <c r="I396" i="1"/>
  <c r="H396" i="1"/>
  <c r="G396" i="1"/>
  <c r="F396" i="1"/>
  <c r="E396" i="1"/>
  <c r="D396" i="1"/>
  <c r="AO395" i="1"/>
  <c r="AN395" i="1"/>
  <c r="AM395" i="1"/>
  <c r="AL395" i="1"/>
  <c r="AK395" i="1"/>
  <c r="AJ395" i="1"/>
  <c r="AI395" i="1"/>
  <c r="AG395" i="1"/>
  <c r="AE395" i="1"/>
  <c r="AD395" i="1"/>
  <c r="AB395" i="1"/>
  <c r="AA395" i="1"/>
  <c r="Z395" i="1"/>
  <c r="X395" i="1"/>
  <c r="W395" i="1"/>
  <c r="V395" i="1"/>
  <c r="S395" i="1"/>
  <c r="R395" i="1"/>
  <c r="Q395" i="1"/>
  <c r="O395" i="1"/>
  <c r="M395" i="1"/>
  <c r="L395" i="1"/>
  <c r="K395" i="1"/>
  <c r="J395" i="1"/>
  <c r="I395" i="1"/>
  <c r="H395" i="1"/>
  <c r="G395" i="1"/>
  <c r="F395" i="1"/>
  <c r="E395" i="1"/>
  <c r="D395" i="1"/>
  <c r="AO394" i="1"/>
  <c r="AN394" i="1"/>
  <c r="AM394" i="1"/>
  <c r="AL394" i="1"/>
  <c r="AK394" i="1"/>
  <c r="AJ394" i="1"/>
  <c r="AI394" i="1"/>
  <c r="AG394" i="1"/>
  <c r="AE394" i="1"/>
  <c r="AD394" i="1"/>
  <c r="AB394" i="1"/>
  <c r="AA394" i="1"/>
  <c r="Z394" i="1"/>
  <c r="X394" i="1"/>
  <c r="W394" i="1"/>
  <c r="V394" i="1"/>
  <c r="S394" i="1"/>
  <c r="R394" i="1"/>
  <c r="Q394" i="1"/>
  <c r="O394" i="1"/>
  <c r="M394" i="1"/>
  <c r="L394" i="1"/>
  <c r="K394" i="1"/>
  <c r="J394" i="1"/>
  <c r="I394" i="1"/>
  <c r="H394" i="1"/>
  <c r="G394" i="1"/>
  <c r="F394" i="1"/>
  <c r="E394" i="1"/>
  <c r="D394" i="1"/>
  <c r="AO393" i="1"/>
  <c r="AN393" i="1"/>
  <c r="AM393" i="1"/>
  <c r="AL393" i="1"/>
  <c r="AK393" i="1"/>
  <c r="AJ393" i="1"/>
  <c r="AI393" i="1"/>
  <c r="AG393" i="1"/>
  <c r="AE393" i="1"/>
  <c r="AD393" i="1"/>
  <c r="AB393" i="1"/>
  <c r="AA393" i="1"/>
  <c r="Z393" i="1"/>
  <c r="X393" i="1"/>
  <c r="W393" i="1"/>
  <c r="V393" i="1"/>
  <c r="S393" i="1"/>
  <c r="R393" i="1"/>
  <c r="Q393" i="1"/>
  <c r="O393" i="1"/>
  <c r="M393" i="1"/>
  <c r="L393" i="1"/>
  <c r="K393" i="1"/>
  <c r="J393" i="1"/>
  <c r="I393" i="1"/>
  <c r="H393" i="1"/>
  <c r="G393" i="1"/>
  <c r="F393" i="1"/>
  <c r="E393" i="1"/>
  <c r="D393" i="1"/>
  <c r="AO392" i="1"/>
  <c r="AN392" i="1"/>
  <c r="AM392" i="1"/>
  <c r="AL392" i="1"/>
  <c r="AK392" i="1"/>
  <c r="AJ392" i="1"/>
  <c r="AI392" i="1"/>
  <c r="AG392" i="1"/>
  <c r="AE392" i="1"/>
  <c r="AD392" i="1"/>
  <c r="AB392" i="1"/>
  <c r="AA392" i="1"/>
  <c r="Z392" i="1"/>
  <c r="X392" i="1"/>
  <c r="W392" i="1"/>
  <c r="V392" i="1"/>
  <c r="S392" i="1"/>
  <c r="R392" i="1"/>
  <c r="Q392" i="1"/>
  <c r="O392" i="1"/>
  <c r="M392" i="1"/>
  <c r="L392" i="1"/>
  <c r="K392" i="1"/>
  <c r="J392" i="1"/>
  <c r="I392" i="1"/>
  <c r="H392" i="1"/>
  <c r="G392" i="1"/>
  <c r="F392" i="1"/>
  <c r="E392" i="1"/>
  <c r="D392" i="1"/>
  <c r="AO391" i="1"/>
  <c r="AN391" i="1"/>
  <c r="AM391" i="1"/>
  <c r="AL391" i="1"/>
  <c r="AK391" i="1"/>
  <c r="AJ391" i="1"/>
  <c r="AI391" i="1"/>
  <c r="AG391" i="1"/>
  <c r="AE391" i="1"/>
  <c r="AD391" i="1"/>
  <c r="AB391" i="1"/>
  <c r="AA391" i="1"/>
  <c r="Z391" i="1"/>
  <c r="X391" i="1"/>
  <c r="W391" i="1"/>
  <c r="V391" i="1"/>
  <c r="S391" i="1"/>
  <c r="R391" i="1"/>
  <c r="Q391" i="1"/>
  <c r="O391" i="1"/>
  <c r="M391" i="1"/>
  <c r="L391" i="1"/>
  <c r="K391" i="1"/>
  <c r="J391" i="1"/>
  <c r="I391" i="1"/>
  <c r="H391" i="1"/>
  <c r="G391" i="1"/>
  <c r="F391" i="1"/>
  <c r="E391" i="1"/>
  <c r="D391" i="1"/>
  <c r="AO390" i="1"/>
  <c r="AN390" i="1"/>
  <c r="AM390" i="1"/>
  <c r="AL390" i="1"/>
  <c r="AK390" i="1"/>
  <c r="AJ390" i="1"/>
  <c r="AI390" i="1"/>
  <c r="AG390" i="1"/>
  <c r="AE390" i="1"/>
  <c r="AD390" i="1"/>
  <c r="AB390" i="1"/>
  <c r="AA390" i="1"/>
  <c r="Z390" i="1"/>
  <c r="X390" i="1"/>
  <c r="W390" i="1"/>
  <c r="V390" i="1"/>
  <c r="S390" i="1"/>
  <c r="R390" i="1"/>
  <c r="Q390" i="1"/>
  <c r="O390" i="1"/>
  <c r="M390" i="1"/>
  <c r="L390" i="1"/>
  <c r="K390" i="1"/>
  <c r="J390" i="1"/>
  <c r="I390" i="1"/>
  <c r="H390" i="1"/>
  <c r="G390" i="1"/>
  <c r="F390" i="1"/>
  <c r="E390" i="1"/>
  <c r="D390" i="1"/>
  <c r="AO389" i="1"/>
  <c r="AN389" i="1"/>
  <c r="AM389" i="1"/>
  <c r="AL389" i="1"/>
  <c r="AK389" i="1"/>
  <c r="AJ389" i="1"/>
  <c r="AI389" i="1"/>
  <c r="AG389" i="1"/>
  <c r="AE389" i="1"/>
  <c r="AD389" i="1"/>
  <c r="AB389" i="1"/>
  <c r="AA389" i="1"/>
  <c r="Z389" i="1"/>
  <c r="X389" i="1"/>
  <c r="W389" i="1"/>
  <c r="V389" i="1"/>
  <c r="S389" i="1"/>
  <c r="R389" i="1"/>
  <c r="Q389" i="1"/>
  <c r="O389" i="1"/>
  <c r="M389" i="1"/>
  <c r="L389" i="1"/>
  <c r="K389" i="1"/>
  <c r="J389" i="1"/>
  <c r="I389" i="1"/>
  <c r="H389" i="1"/>
  <c r="G389" i="1"/>
  <c r="F389" i="1"/>
  <c r="E389" i="1"/>
  <c r="D389" i="1"/>
  <c r="AO388" i="1"/>
  <c r="AN388" i="1"/>
  <c r="AM388" i="1"/>
  <c r="AL388" i="1"/>
  <c r="AK388" i="1"/>
  <c r="AJ388" i="1"/>
  <c r="AI388" i="1"/>
  <c r="AG388" i="1"/>
  <c r="AE388" i="1"/>
  <c r="AD388" i="1"/>
  <c r="AB388" i="1"/>
  <c r="AA388" i="1"/>
  <c r="Z388" i="1"/>
  <c r="X388" i="1"/>
  <c r="W388" i="1"/>
  <c r="V388" i="1"/>
  <c r="S388" i="1"/>
  <c r="R388" i="1"/>
  <c r="Q388" i="1"/>
  <c r="O388" i="1"/>
  <c r="M388" i="1"/>
  <c r="L388" i="1"/>
  <c r="K388" i="1"/>
  <c r="J388" i="1"/>
  <c r="I388" i="1"/>
  <c r="H388" i="1"/>
  <c r="G388" i="1"/>
  <c r="F388" i="1"/>
  <c r="E388" i="1"/>
  <c r="D388" i="1"/>
  <c r="AO387" i="1"/>
  <c r="AN387" i="1"/>
  <c r="AM387" i="1"/>
  <c r="AL387" i="1"/>
  <c r="AK387" i="1"/>
  <c r="AJ387" i="1"/>
  <c r="AI387" i="1"/>
  <c r="AG387" i="1"/>
  <c r="AE387" i="1"/>
  <c r="AD387" i="1"/>
  <c r="AB387" i="1"/>
  <c r="AA387" i="1"/>
  <c r="Z387" i="1"/>
  <c r="X387" i="1"/>
  <c r="W387" i="1"/>
  <c r="V387" i="1"/>
  <c r="S387" i="1"/>
  <c r="R387" i="1"/>
  <c r="Q387" i="1"/>
  <c r="O387" i="1"/>
  <c r="M387" i="1"/>
  <c r="L387" i="1"/>
  <c r="K387" i="1"/>
  <c r="J387" i="1"/>
  <c r="I387" i="1"/>
  <c r="H387" i="1"/>
  <c r="G387" i="1"/>
  <c r="F387" i="1"/>
  <c r="E387" i="1"/>
  <c r="D387" i="1"/>
  <c r="AO386" i="1"/>
  <c r="AN386" i="1"/>
  <c r="AM386" i="1"/>
  <c r="AL386" i="1"/>
  <c r="AK386" i="1"/>
  <c r="AJ386" i="1"/>
  <c r="AI386" i="1"/>
  <c r="AG386" i="1"/>
  <c r="AE386" i="1"/>
  <c r="AD386" i="1"/>
  <c r="AB386" i="1"/>
  <c r="AA386" i="1"/>
  <c r="Z386" i="1"/>
  <c r="X386" i="1"/>
  <c r="W386" i="1"/>
  <c r="V386" i="1"/>
  <c r="S386" i="1"/>
  <c r="R386" i="1"/>
  <c r="Q386" i="1"/>
  <c r="O386" i="1"/>
  <c r="M386" i="1"/>
  <c r="L386" i="1"/>
  <c r="K386" i="1"/>
  <c r="J386" i="1"/>
  <c r="I386" i="1"/>
  <c r="H386" i="1"/>
  <c r="G386" i="1"/>
  <c r="F386" i="1"/>
  <c r="E386" i="1"/>
  <c r="D386" i="1"/>
  <c r="AO385" i="1"/>
  <c r="AN385" i="1"/>
  <c r="AM385" i="1"/>
  <c r="AL385" i="1"/>
  <c r="AK385" i="1"/>
  <c r="AJ385" i="1"/>
  <c r="AI385" i="1"/>
  <c r="AG385" i="1"/>
  <c r="AE385" i="1"/>
  <c r="AD385" i="1"/>
  <c r="AB385" i="1"/>
  <c r="AA385" i="1"/>
  <c r="Z385" i="1"/>
  <c r="X385" i="1"/>
  <c r="W385" i="1"/>
  <c r="V385" i="1"/>
  <c r="S385" i="1"/>
  <c r="R385" i="1"/>
  <c r="Q385" i="1"/>
  <c r="O385" i="1"/>
  <c r="M385" i="1"/>
  <c r="L385" i="1"/>
  <c r="K385" i="1"/>
  <c r="J385" i="1"/>
  <c r="I385" i="1"/>
  <c r="H385" i="1"/>
  <c r="G385" i="1"/>
  <c r="F385" i="1"/>
  <c r="E385" i="1"/>
  <c r="D385" i="1"/>
  <c r="AO384" i="1"/>
  <c r="AN384" i="1"/>
  <c r="AM384" i="1"/>
  <c r="AL384" i="1"/>
  <c r="AK384" i="1"/>
  <c r="AJ384" i="1"/>
  <c r="AI384" i="1"/>
  <c r="AG384" i="1"/>
  <c r="AE384" i="1"/>
  <c r="AD384" i="1"/>
  <c r="AB384" i="1"/>
  <c r="AA384" i="1"/>
  <c r="Z384" i="1"/>
  <c r="X384" i="1"/>
  <c r="W384" i="1"/>
  <c r="V384" i="1"/>
  <c r="S384" i="1"/>
  <c r="R384" i="1"/>
  <c r="Q384" i="1"/>
  <c r="O384" i="1"/>
  <c r="M384" i="1"/>
  <c r="L384" i="1"/>
  <c r="K384" i="1"/>
  <c r="J384" i="1"/>
  <c r="I384" i="1"/>
  <c r="H384" i="1"/>
  <c r="G384" i="1"/>
  <c r="F384" i="1"/>
  <c r="E384" i="1"/>
  <c r="D384" i="1"/>
  <c r="AO383" i="1"/>
  <c r="AN383" i="1"/>
  <c r="AM383" i="1"/>
  <c r="AL383" i="1"/>
  <c r="AK383" i="1"/>
  <c r="AJ383" i="1"/>
  <c r="AI383" i="1"/>
  <c r="AG383" i="1"/>
  <c r="AE383" i="1"/>
  <c r="AD383" i="1"/>
  <c r="AB383" i="1"/>
  <c r="AA383" i="1"/>
  <c r="Z383" i="1"/>
  <c r="X383" i="1"/>
  <c r="W383" i="1"/>
  <c r="V383" i="1"/>
  <c r="S383" i="1"/>
  <c r="R383" i="1"/>
  <c r="Q383" i="1"/>
  <c r="O383" i="1"/>
  <c r="M383" i="1"/>
  <c r="L383" i="1"/>
  <c r="K383" i="1"/>
  <c r="J383" i="1"/>
  <c r="I383" i="1"/>
  <c r="H383" i="1"/>
  <c r="G383" i="1"/>
  <c r="F383" i="1"/>
  <c r="E383" i="1"/>
  <c r="D383" i="1"/>
  <c r="AO382" i="1"/>
  <c r="AN382" i="1"/>
  <c r="AM382" i="1"/>
  <c r="AL382" i="1"/>
  <c r="AK382" i="1"/>
  <c r="AJ382" i="1"/>
  <c r="AI382" i="1"/>
  <c r="AG382" i="1"/>
  <c r="AE382" i="1"/>
  <c r="AD382" i="1"/>
  <c r="AB382" i="1"/>
  <c r="AA382" i="1"/>
  <c r="Z382" i="1"/>
  <c r="X382" i="1"/>
  <c r="W382" i="1"/>
  <c r="V382" i="1"/>
  <c r="S382" i="1"/>
  <c r="R382" i="1"/>
  <c r="Q382" i="1"/>
  <c r="O382" i="1"/>
  <c r="M382" i="1"/>
  <c r="L382" i="1"/>
  <c r="K382" i="1"/>
  <c r="J382" i="1"/>
  <c r="I382" i="1"/>
  <c r="H382" i="1"/>
  <c r="G382" i="1"/>
  <c r="F382" i="1"/>
  <c r="E382" i="1"/>
  <c r="D382" i="1"/>
  <c r="AO381" i="1"/>
  <c r="AN381" i="1"/>
  <c r="AM381" i="1"/>
  <c r="AL381" i="1"/>
  <c r="AK381" i="1"/>
  <c r="AJ381" i="1"/>
  <c r="AI381" i="1"/>
  <c r="AG381" i="1"/>
  <c r="AE381" i="1"/>
  <c r="AD381" i="1"/>
  <c r="AB381" i="1"/>
  <c r="AA381" i="1"/>
  <c r="Z381" i="1"/>
  <c r="X381" i="1"/>
  <c r="W381" i="1"/>
  <c r="V381" i="1"/>
  <c r="S381" i="1"/>
  <c r="R381" i="1"/>
  <c r="Q381" i="1"/>
  <c r="O381" i="1"/>
  <c r="M381" i="1"/>
  <c r="L381" i="1"/>
  <c r="K381" i="1"/>
  <c r="J381" i="1"/>
  <c r="I381" i="1"/>
  <c r="H381" i="1"/>
  <c r="G381" i="1"/>
  <c r="F381" i="1"/>
  <c r="E381" i="1"/>
  <c r="D381" i="1"/>
  <c r="AO380" i="1"/>
  <c r="AN380" i="1"/>
  <c r="AM380" i="1"/>
  <c r="AL380" i="1"/>
  <c r="AK380" i="1"/>
  <c r="AJ380" i="1"/>
  <c r="AI380" i="1"/>
  <c r="AG380" i="1"/>
  <c r="AE380" i="1"/>
  <c r="AD380" i="1"/>
  <c r="AB380" i="1"/>
  <c r="AA380" i="1"/>
  <c r="Z380" i="1"/>
  <c r="X380" i="1"/>
  <c r="W380" i="1"/>
  <c r="V380" i="1"/>
  <c r="S380" i="1"/>
  <c r="R380" i="1"/>
  <c r="Q380" i="1"/>
  <c r="O380" i="1"/>
  <c r="M380" i="1"/>
  <c r="L380" i="1"/>
  <c r="K380" i="1"/>
  <c r="J380" i="1"/>
  <c r="I380" i="1"/>
  <c r="H380" i="1"/>
  <c r="G380" i="1"/>
  <c r="F380" i="1"/>
  <c r="E380" i="1"/>
  <c r="D380" i="1"/>
  <c r="AO379" i="1"/>
  <c r="AN379" i="1"/>
  <c r="AM379" i="1"/>
  <c r="AL379" i="1"/>
  <c r="AK379" i="1"/>
  <c r="AJ379" i="1"/>
  <c r="AI379" i="1"/>
  <c r="AG379" i="1"/>
  <c r="AE379" i="1"/>
  <c r="AD379" i="1"/>
  <c r="AB379" i="1"/>
  <c r="AA379" i="1"/>
  <c r="Z379" i="1"/>
  <c r="X379" i="1"/>
  <c r="W379" i="1"/>
  <c r="V379" i="1"/>
  <c r="S379" i="1"/>
  <c r="R379" i="1"/>
  <c r="Q379" i="1"/>
  <c r="O379" i="1"/>
  <c r="M379" i="1"/>
  <c r="L379" i="1"/>
  <c r="K379" i="1"/>
  <c r="J379" i="1"/>
  <c r="I379" i="1"/>
  <c r="H379" i="1"/>
  <c r="G379" i="1"/>
  <c r="F379" i="1"/>
  <c r="E379" i="1"/>
  <c r="D379" i="1"/>
  <c r="AO378" i="1"/>
  <c r="AN378" i="1"/>
  <c r="AM378" i="1"/>
  <c r="AL378" i="1"/>
  <c r="AK378" i="1"/>
  <c r="AJ378" i="1"/>
  <c r="AI378" i="1"/>
  <c r="AG378" i="1"/>
  <c r="AE378" i="1"/>
  <c r="AD378" i="1"/>
  <c r="AB378" i="1"/>
  <c r="AA378" i="1"/>
  <c r="Z378" i="1"/>
  <c r="X378" i="1"/>
  <c r="W378" i="1"/>
  <c r="V378" i="1"/>
  <c r="S378" i="1"/>
  <c r="R378" i="1"/>
  <c r="Q378" i="1"/>
  <c r="O378" i="1"/>
  <c r="M378" i="1"/>
  <c r="L378" i="1"/>
  <c r="K378" i="1"/>
  <c r="J378" i="1"/>
  <c r="I378" i="1"/>
  <c r="H378" i="1"/>
  <c r="G378" i="1"/>
  <c r="F378" i="1"/>
  <c r="E378" i="1"/>
  <c r="D378" i="1"/>
  <c r="AO377" i="1"/>
  <c r="AN377" i="1"/>
  <c r="AM377" i="1"/>
  <c r="AL377" i="1"/>
  <c r="AK377" i="1"/>
  <c r="AJ377" i="1"/>
  <c r="AI377" i="1"/>
  <c r="AG377" i="1"/>
  <c r="AE377" i="1"/>
  <c r="AD377" i="1"/>
  <c r="AB377" i="1"/>
  <c r="AA377" i="1"/>
  <c r="Z377" i="1"/>
  <c r="X377" i="1"/>
  <c r="W377" i="1"/>
  <c r="V377" i="1"/>
  <c r="S377" i="1"/>
  <c r="R377" i="1"/>
  <c r="Q377" i="1"/>
  <c r="O377" i="1"/>
  <c r="M377" i="1"/>
  <c r="L377" i="1"/>
  <c r="K377" i="1"/>
  <c r="J377" i="1"/>
  <c r="I377" i="1"/>
  <c r="H377" i="1"/>
  <c r="G377" i="1"/>
  <c r="F377" i="1"/>
  <c r="E377" i="1"/>
  <c r="D377" i="1"/>
  <c r="AO376" i="1"/>
  <c r="AN376" i="1"/>
  <c r="AM376" i="1"/>
  <c r="AL376" i="1"/>
  <c r="AK376" i="1"/>
  <c r="AJ376" i="1"/>
  <c r="AI376" i="1"/>
  <c r="AG376" i="1"/>
  <c r="AE376" i="1"/>
  <c r="AD376" i="1"/>
  <c r="AB376" i="1"/>
  <c r="AA376" i="1"/>
  <c r="Z376" i="1"/>
  <c r="X376" i="1"/>
  <c r="W376" i="1"/>
  <c r="V376" i="1"/>
  <c r="S376" i="1"/>
  <c r="R376" i="1"/>
  <c r="Q376" i="1"/>
  <c r="O376" i="1"/>
  <c r="M376" i="1"/>
  <c r="L376" i="1"/>
  <c r="K376" i="1"/>
  <c r="J376" i="1"/>
  <c r="I376" i="1"/>
  <c r="H376" i="1"/>
  <c r="G376" i="1"/>
  <c r="F376" i="1"/>
  <c r="E376" i="1"/>
  <c r="D376" i="1"/>
  <c r="AO375" i="1"/>
  <c r="AN375" i="1"/>
  <c r="AM375" i="1"/>
  <c r="AL375" i="1"/>
  <c r="AK375" i="1"/>
  <c r="AJ375" i="1"/>
  <c r="AI375" i="1"/>
  <c r="AG375" i="1"/>
  <c r="AE375" i="1"/>
  <c r="AD375" i="1"/>
  <c r="AB375" i="1"/>
  <c r="AA375" i="1"/>
  <c r="Z375" i="1"/>
  <c r="X375" i="1"/>
  <c r="W375" i="1"/>
  <c r="V375" i="1"/>
  <c r="S375" i="1"/>
  <c r="R375" i="1"/>
  <c r="Q375" i="1"/>
  <c r="O375" i="1"/>
  <c r="M375" i="1"/>
  <c r="L375" i="1"/>
  <c r="K375" i="1"/>
  <c r="J375" i="1"/>
  <c r="I375" i="1"/>
  <c r="H375" i="1"/>
  <c r="G375" i="1"/>
  <c r="F375" i="1"/>
  <c r="E375" i="1"/>
  <c r="D375" i="1"/>
  <c r="AO374" i="1"/>
  <c r="AN374" i="1"/>
  <c r="AM374" i="1"/>
  <c r="AL374" i="1"/>
  <c r="AK374" i="1"/>
  <c r="AJ374" i="1"/>
  <c r="AI374" i="1"/>
  <c r="AG374" i="1"/>
  <c r="AE374" i="1"/>
  <c r="AD374" i="1"/>
  <c r="AB374" i="1"/>
  <c r="AA374" i="1"/>
  <c r="Z374" i="1"/>
  <c r="X374" i="1"/>
  <c r="W374" i="1"/>
  <c r="V374" i="1"/>
  <c r="S374" i="1"/>
  <c r="R374" i="1"/>
  <c r="Q374" i="1"/>
  <c r="O374" i="1"/>
  <c r="M374" i="1"/>
  <c r="L374" i="1"/>
  <c r="K374" i="1"/>
  <c r="J374" i="1"/>
  <c r="I374" i="1"/>
  <c r="H374" i="1"/>
  <c r="G374" i="1"/>
  <c r="F374" i="1"/>
  <c r="E374" i="1"/>
  <c r="D374" i="1"/>
  <c r="AO373" i="1"/>
  <c r="AN373" i="1"/>
  <c r="AM373" i="1"/>
  <c r="AL373" i="1"/>
  <c r="AK373" i="1"/>
  <c r="AJ373" i="1"/>
  <c r="AI373" i="1"/>
  <c r="AG373" i="1"/>
  <c r="AE373" i="1"/>
  <c r="AD373" i="1"/>
  <c r="AB373" i="1"/>
  <c r="AA373" i="1"/>
  <c r="Z373" i="1"/>
  <c r="X373" i="1"/>
  <c r="W373" i="1"/>
  <c r="V373" i="1"/>
  <c r="S373" i="1"/>
  <c r="R373" i="1"/>
  <c r="Q373" i="1"/>
  <c r="O373" i="1"/>
  <c r="M373" i="1"/>
  <c r="L373" i="1"/>
  <c r="K373" i="1"/>
  <c r="J373" i="1"/>
  <c r="I373" i="1"/>
  <c r="H373" i="1"/>
  <c r="G373" i="1"/>
  <c r="F373" i="1"/>
  <c r="E373" i="1"/>
  <c r="D373" i="1"/>
  <c r="AO372" i="1"/>
  <c r="AN372" i="1"/>
  <c r="AM372" i="1"/>
  <c r="AL372" i="1"/>
  <c r="AK372" i="1"/>
  <c r="AJ372" i="1"/>
  <c r="AI372" i="1"/>
  <c r="AG372" i="1"/>
  <c r="AE372" i="1"/>
  <c r="AD372" i="1"/>
  <c r="AB372" i="1"/>
  <c r="AA372" i="1"/>
  <c r="Z372" i="1"/>
  <c r="X372" i="1"/>
  <c r="W372" i="1"/>
  <c r="V372" i="1"/>
  <c r="S372" i="1"/>
  <c r="R372" i="1"/>
  <c r="Q372" i="1"/>
  <c r="O372" i="1"/>
  <c r="M372" i="1"/>
  <c r="L372" i="1"/>
  <c r="K372" i="1"/>
  <c r="J372" i="1"/>
  <c r="I372" i="1"/>
  <c r="H372" i="1"/>
  <c r="G372" i="1"/>
  <c r="F372" i="1"/>
  <c r="E372" i="1"/>
  <c r="D372" i="1"/>
  <c r="AO371" i="1"/>
  <c r="AN371" i="1"/>
  <c r="AM371" i="1"/>
  <c r="AL371" i="1"/>
  <c r="AK371" i="1"/>
  <c r="AJ371" i="1"/>
  <c r="AI371" i="1"/>
  <c r="AG371" i="1"/>
  <c r="AE371" i="1"/>
  <c r="AD371" i="1"/>
  <c r="AB371" i="1"/>
  <c r="AA371" i="1"/>
  <c r="Z371" i="1"/>
  <c r="X371" i="1"/>
  <c r="W371" i="1"/>
  <c r="V371" i="1"/>
  <c r="S371" i="1"/>
  <c r="R371" i="1"/>
  <c r="Q371" i="1"/>
  <c r="O371" i="1"/>
  <c r="M371" i="1"/>
  <c r="L371" i="1"/>
  <c r="K371" i="1"/>
  <c r="J371" i="1"/>
  <c r="I371" i="1"/>
  <c r="H371" i="1"/>
  <c r="G371" i="1"/>
  <c r="F371" i="1"/>
  <c r="E371" i="1"/>
  <c r="D371" i="1"/>
  <c r="AO370" i="1"/>
  <c r="AN370" i="1"/>
  <c r="AM370" i="1"/>
  <c r="AL370" i="1"/>
  <c r="AK370" i="1"/>
  <c r="AJ370" i="1"/>
  <c r="AI370" i="1"/>
  <c r="AG370" i="1"/>
  <c r="AE370" i="1"/>
  <c r="AD370" i="1"/>
  <c r="AB370" i="1"/>
  <c r="AA370" i="1"/>
  <c r="Z370" i="1"/>
  <c r="X370" i="1"/>
  <c r="W370" i="1"/>
  <c r="V370" i="1"/>
  <c r="S370" i="1"/>
  <c r="R370" i="1"/>
  <c r="Q370" i="1"/>
  <c r="O370" i="1"/>
  <c r="M370" i="1"/>
  <c r="L370" i="1"/>
  <c r="K370" i="1"/>
  <c r="J370" i="1"/>
  <c r="I370" i="1"/>
  <c r="H370" i="1"/>
  <c r="G370" i="1"/>
  <c r="F370" i="1"/>
  <c r="E370" i="1"/>
  <c r="D370" i="1"/>
  <c r="AO369" i="1"/>
  <c r="AN369" i="1"/>
  <c r="AM369" i="1"/>
  <c r="AL369" i="1"/>
  <c r="AK369" i="1"/>
  <c r="AJ369" i="1"/>
  <c r="AI369" i="1"/>
  <c r="AG369" i="1"/>
  <c r="AE369" i="1"/>
  <c r="AD369" i="1"/>
  <c r="AB369" i="1"/>
  <c r="AA369" i="1"/>
  <c r="Z369" i="1"/>
  <c r="X369" i="1"/>
  <c r="W369" i="1"/>
  <c r="V369" i="1"/>
  <c r="S369" i="1"/>
  <c r="R369" i="1"/>
  <c r="Q369" i="1"/>
  <c r="O369" i="1"/>
  <c r="M369" i="1"/>
  <c r="L369" i="1"/>
  <c r="K369" i="1"/>
  <c r="J369" i="1"/>
  <c r="I369" i="1"/>
  <c r="H369" i="1"/>
  <c r="G369" i="1"/>
  <c r="F369" i="1"/>
  <c r="E369" i="1"/>
  <c r="D369" i="1"/>
  <c r="AO368" i="1"/>
  <c r="AN368" i="1"/>
  <c r="AM368" i="1"/>
  <c r="AL368" i="1"/>
  <c r="AK368" i="1"/>
  <c r="AJ368" i="1"/>
  <c r="AI368" i="1"/>
  <c r="AG368" i="1"/>
  <c r="AE368" i="1"/>
  <c r="AD368" i="1"/>
  <c r="AB368" i="1"/>
  <c r="AA368" i="1"/>
  <c r="Z368" i="1"/>
  <c r="X368" i="1"/>
  <c r="W368" i="1"/>
  <c r="V368" i="1"/>
  <c r="S368" i="1"/>
  <c r="R368" i="1"/>
  <c r="Q368" i="1"/>
  <c r="O368" i="1"/>
  <c r="M368" i="1"/>
  <c r="L368" i="1"/>
  <c r="K368" i="1"/>
  <c r="J368" i="1"/>
  <c r="I368" i="1"/>
  <c r="H368" i="1"/>
  <c r="G368" i="1"/>
  <c r="F368" i="1"/>
  <c r="E368" i="1"/>
  <c r="D368" i="1"/>
  <c r="AO367" i="1"/>
  <c r="AN367" i="1"/>
  <c r="AM367" i="1"/>
  <c r="AL367" i="1"/>
  <c r="AK367" i="1"/>
  <c r="AJ367" i="1"/>
  <c r="AI367" i="1"/>
  <c r="AG367" i="1"/>
  <c r="AE367" i="1"/>
  <c r="AD367" i="1"/>
  <c r="AB367" i="1"/>
  <c r="AA367" i="1"/>
  <c r="Z367" i="1"/>
  <c r="X367" i="1"/>
  <c r="W367" i="1"/>
  <c r="V367" i="1"/>
  <c r="S367" i="1"/>
  <c r="R367" i="1"/>
  <c r="Q367" i="1"/>
  <c r="O367" i="1"/>
  <c r="M367" i="1"/>
  <c r="L367" i="1"/>
  <c r="K367" i="1"/>
  <c r="J367" i="1"/>
  <c r="I367" i="1"/>
  <c r="H367" i="1"/>
  <c r="G367" i="1"/>
  <c r="F367" i="1"/>
  <c r="E367" i="1"/>
  <c r="D367" i="1"/>
  <c r="AO366" i="1"/>
  <c r="AN366" i="1"/>
  <c r="AM366" i="1"/>
  <c r="AL366" i="1"/>
  <c r="AK366" i="1"/>
  <c r="AJ366" i="1"/>
  <c r="AI366" i="1"/>
  <c r="AG366" i="1"/>
  <c r="AE366" i="1"/>
  <c r="AD366" i="1"/>
  <c r="AB366" i="1"/>
  <c r="AA366" i="1"/>
  <c r="Z366" i="1"/>
  <c r="X366" i="1"/>
  <c r="W366" i="1"/>
  <c r="V366" i="1"/>
  <c r="S366" i="1"/>
  <c r="R366" i="1"/>
  <c r="Q366" i="1"/>
  <c r="O366" i="1"/>
  <c r="M366" i="1"/>
  <c r="L366" i="1"/>
  <c r="K366" i="1"/>
  <c r="J366" i="1"/>
  <c r="I366" i="1"/>
  <c r="H366" i="1"/>
  <c r="G366" i="1"/>
  <c r="F366" i="1"/>
  <c r="E366" i="1"/>
  <c r="D366" i="1"/>
  <c r="AO365" i="1"/>
  <c r="AN365" i="1"/>
  <c r="AM365" i="1"/>
  <c r="AL365" i="1"/>
  <c r="AK365" i="1"/>
  <c r="AJ365" i="1"/>
  <c r="AI365" i="1"/>
  <c r="AG365" i="1"/>
  <c r="AE365" i="1"/>
  <c r="AD365" i="1"/>
  <c r="AB365" i="1"/>
  <c r="AA365" i="1"/>
  <c r="Z365" i="1"/>
  <c r="X365" i="1"/>
  <c r="W365" i="1"/>
  <c r="V365" i="1"/>
  <c r="S365" i="1"/>
  <c r="R365" i="1"/>
  <c r="Q365" i="1"/>
  <c r="O365" i="1"/>
  <c r="M365" i="1"/>
  <c r="L365" i="1"/>
  <c r="K365" i="1"/>
  <c r="J365" i="1"/>
  <c r="I365" i="1"/>
  <c r="H365" i="1"/>
  <c r="G365" i="1"/>
  <c r="F365" i="1"/>
  <c r="E365" i="1"/>
  <c r="D365" i="1"/>
  <c r="AO364" i="1"/>
  <c r="AN364" i="1"/>
  <c r="AM364" i="1"/>
  <c r="AL364" i="1"/>
  <c r="AK364" i="1"/>
  <c r="AJ364" i="1"/>
  <c r="AI364" i="1"/>
  <c r="AG364" i="1"/>
  <c r="AE364" i="1"/>
  <c r="AD364" i="1"/>
  <c r="AB364" i="1"/>
  <c r="AA364" i="1"/>
  <c r="Z364" i="1"/>
  <c r="X364" i="1"/>
  <c r="W364" i="1"/>
  <c r="V364" i="1"/>
  <c r="S364" i="1"/>
  <c r="R364" i="1"/>
  <c r="Q364" i="1"/>
  <c r="O364" i="1"/>
  <c r="M364" i="1"/>
  <c r="L364" i="1"/>
  <c r="K364" i="1"/>
  <c r="J364" i="1"/>
  <c r="I364" i="1"/>
  <c r="H364" i="1"/>
  <c r="G364" i="1"/>
  <c r="F364" i="1"/>
  <c r="E364" i="1"/>
  <c r="D364" i="1"/>
  <c r="AO363" i="1"/>
  <c r="AN363" i="1"/>
  <c r="AM363" i="1"/>
  <c r="AL363" i="1"/>
  <c r="AK363" i="1"/>
  <c r="AJ363" i="1"/>
  <c r="AI363" i="1"/>
  <c r="AG363" i="1"/>
  <c r="AE363" i="1"/>
  <c r="AD363" i="1"/>
  <c r="AB363" i="1"/>
  <c r="AA363" i="1"/>
  <c r="Z363" i="1"/>
  <c r="X363" i="1"/>
  <c r="W363" i="1"/>
  <c r="V363" i="1"/>
  <c r="S363" i="1"/>
  <c r="R363" i="1"/>
  <c r="Q363" i="1"/>
  <c r="O363" i="1"/>
  <c r="M363" i="1"/>
  <c r="L363" i="1"/>
  <c r="K363" i="1"/>
  <c r="J363" i="1"/>
  <c r="I363" i="1"/>
  <c r="H363" i="1"/>
  <c r="G363" i="1"/>
  <c r="F363" i="1"/>
  <c r="E363" i="1"/>
  <c r="D363" i="1"/>
  <c r="AO362" i="1"/>
  <c r="AN362" i="1"/>
  <c r="AM362" i="1"/>
  <c r="AL362" i="1"/>
  <c r="AK362" i="1"/>
  <c r="AJ362" i="1"/>
  <c r="AI362" i="1"/>
  <c r="AG362" i="1"/>
  <c r="AE362" i="1"/>
  <c r="AD362" i="1"/>
  <c r="AB362" i="1"/>
  <c r="AA362" i="1"/>
  <c r="Z362" i="1"/>
  <c r="X362" i="1"/>
  <c r="W362" i="1"/>
  <c r="V362" i="1"/>
  <c r="S362" i="1"/>
  <c r="R362" i="1"/>
  <c r="Q362" i="1"/>
  <c r="O362" i="1"/>
  <c r="M362" i="1"/>
  <c r="L362" i="1"/>
  <c r="K362" i="1"/>
  <c r="J362" i="1"/>
  <c r="I362" i="1"/>
  <c r="H362" i="1"/>
  <c r="G362" i="1"/>
  <c r="F362" i="1"/>
  <c r="E362" i="1"/>
  <c r="D362" i="1"/>
  <c r="AO361" i="1"/>
  <c r="AN361" i="1"/>
  <c r="AM361" i="1"/>
  <c r="AL361" i="1"/>
  <c r="AK361" i="1"/>
  <c r="AJ361" i="1"/>
  <c r="AI361" i="1"/>
  <c r="AG361" i="1"/>
  <c r="AE361" i="1"/>
  <c r="AD361" i="1"/>
  <c r="AB361" i="1"/>
  <c r="AA361" i="1"/>
  <c r="Z361" i="1"/>
  <c r="X361" i="1"/>
  <c r="W361" i="1"/>
  <c r="V361" i="1"/>
  <c r="S361" i="1"/>
  <c r="R361" i="1"/>
  <c r="Q361" i="1"/>
  <c r="O361" i="1"/>
  <c r="M361" i="1"/>
  <c r="L361" i="1"/>
  <c r="K361" i="1"/>
  <c r="J361" i="1"/>
  <c r="I361" i="1"/>
  <c r="H361" i="1"/>
  <c r="G361" i="1"/>
  <c r="F361" i="1"/>
  <c r="E361" i="1"/>
  <c r="D361" i="1"/>
  <c r="AO360" i="1"/>
  <c r="AN360" i="1"/>
  <c r="AM360" i="1"/>
  <c r="AL360" i="1"/>
  <c r="AK360" i="1"/>
  <c r="AJ360" i="1"/>
  <c r="AI360" i="1"/>
  <c r="AG360" i="1"/>
  <c r="AE360" i="1"/>
  <c r="AD360" i="1"/>
  <c r="AB360" i="1"/>
  <c r="AA360" i="1"/>
  <c r="Z360" i="1"/>
  <c r="X360" i="1"/>
  <c r="W360" i="1"/>
  <c r="V360" i="1"/>
  <c r="S360" i="1"/>
  <c r="R360" i="1"/>
  <c r="Q360" i="1"/>
  <c r="O360" i="1"/>
  <c r="M360" i="1"/>
  <c r="L360" i="1"/>
  <c r="K360" i="1"/>
  <c r="J360" i="1"/>
  <c r="I360" i="1"/>
  <c r="H360" i="1"/>
  <c r="G360" i="1"/>
  <c r="F360" i="1"/>
  <c r="E360" i="1"/>
  <c r="D360" i="1"/>
  <c r="AO359" i="1"/>
  <c r="AN359" i="1"/>
  <c r="AM359" i="1"/>
  <c r="AL359" i="1"/>
  <c r="AK359" i="1"/>
  <c r="AJ359" i="1"/>
  <c r="AI359" i="1"/>
  <c r="AG359" i="1"/>
  <c r="AE359" i="1"/>
  <c r="AD359" i="1"/>
  <c r="AB359" i="1"/>
  <c r="AA359" i="1"/>
  <c r="Z359" i="1"/>
  <c r="X359" i="1"/>
  <c r="W359" i="1"/>
  <c r="V359" i="1"/>
  <c r="S359" i="1"/>
  <c r="R359" i="1"/>
  <c r="Q359" i="1"/>
  <c r="O359" i="1"/>
  <c r="M359" i="1"/>
  <c r="L359" i="1"/>
  <c r="K359" i="1"/>
  <c r="J359" i="1"/>
  <c r="I359" i="1"/>
  <c r="H359" i="1"/>
  <c r="G359" i="1"/>
  <c r="F359" i="1"/>
  <c r="E359" i="1"/>
  <c r="D359" i="1"/>
  <c r="AO358" i="1"/>
  <c r="AN358" i="1"/>
  <c r="AM358" i="1"/>
  <c r="AL358" i="1"/>
  <c r="AK358" i="1"/>
  <c r="AJ358" i="1"/>
  <c r="AI358" i="1"/>
  <c r="AG358" i="1"/>
  <c r="AE358" i="1"/>
  <c r="AD358" i="1"/>
  <c r="AB358" i="1"/>
  <c r="AA358" i="1"/>
  <c r="Z358" i="1"/>
  <c r="X358" i="1"/>
  <c r="W358" i="1"/>
  <c r="V358" i="1"/>
  <c r="S358" i="1"/>
  <c r="R358" i="1"/>
  <c r="Q358" i="1"/>
  <c r="O358" i="1"/>
  <c r="M358" i="1"/>
  <c r="L358" i="1"/>
  <c r="K358" i="1"/>
  <c r="J358" i="1"/>
  <c r="I358" i="1"/>
  <c r="H358" i="1"/>
  <c r="G358" i="1"/>
  <c r="F358" i="1"/>
  <c r="E358" i="1"/>
  <c r="D358" i="1"/>
  <c r="AO357" i="1"/>
  <c r="AN357" i="1"/>
  <c r="AM357" i="1"/>
  <c r="AL357" i="1"/>
  <c r="AK357" i="1"/>
  <c r="AJ357" i="1"/>
  <c r="AI357" i="1"/>
  <c r="AG357" i="1"/>
  <c r="AE357" i="1"/>
  <c r="AD357" i="1"/>
  <c r="AB357" i="1"/>
  <c r="AA357" i="1"/>
  <c r="Z357" i="1"/>
  <c r="X357" i="1"/>
  <c r="W357" i="1"/>
  <c r="V357" i="1"/>
  <c r="S357" i="1"/>
  <c r="R357" i="1"/>
  <c r="Q357" i="1"/>
  <c r="O357" i="1"/>
  <c r="M357" i="1"/>
  <c r="L357" i="1"/>
  <c r="K357" i="1"/>
  <c r="J357" i="1"/>
  <c r="I357" i="1"/>
  <c r="H357" i="1"/>
  <c r="G357" i="1"/>
  <c r="F357" i="1"/>
  <c r="E357" i="1"/>
  <c r="D357" i="1"/>
  <c r="AO356" i="1"/>
  <c r="AN356" i="1"/>
  <c r="AM356" i="1"/>
  <c r="AL356" i="1"/>
  <c r="AK356" i="1"/>
  <c r="AJ356" i="1"/>
  <c r="AI356" i="1"/>
  <c r="AG356" i="1"/>
  <c r="AE356" i="1"/>
  <c r="AD356" i="1"/>
  <c r="AB356" i="1"/>
  <c r="AA356" i="1"/>
  <c r="Z356" i="1"/>
  <c r="X356" i="1"/>
  <c r="W356" i="1"/>
  <c r="V356" i="1"/>
  <c r="S356" i="1"/>
  <c r="R356" i="1"/>
  <c r="Q356" i="1"/>
  <c r="O356" i="1"/>
  <c r="M356" i="1"/>
  <c r="L356" i="1"/>
  <c r="K356" i="1"/>
  <c r="J356" i="1"/>
  <c r="I356" i="1"/>
  <c r="H356" i="1"/>
  <c r="G356" i="1"/>
  <c r="F356" i="1"/>
  <c r="E356" i="1"/>
  <c r="D356" i="1"/>
  <c r="AO355" i="1"/>
  <c r="AN355" i="1"/>
  <c r="AM355" i="1"/>
  <c r="AL355" i="1"/>
  <c r="AK355" i="1"/>
  <c r="AJ355" i="1"/>
  <c r="AI355" i="1"/>
  <c r="AG355" i="1"/>
  <c r="AE355" i="1"/>
  <c r="AD355" i="1"/>
  <c r="AB355" i="1"/>
  <c r="AA355" i="1"/>
  <c r="Z355" i="1"/>
  <c r="X355" i="1"/>
  <c r="W355" i="1"/>
  <c r="V355" i="1"/>
  <c r="S355" i="1"/>
  <c r="R355" i="1"/>
  <c r="Q355" i="1"/>
  <c r="O355" i="1"/>
  <c r="M355" i="1"/>
  <c r="L355" i="1"/>
  <c r="K355" i="1"/>
  <c r="J355" i="1"/>
  <c r="I355" i="1"/>
  <c r="H355" i="1"/>
  <c r="G355" i="1"/>
  <c r="F355" i="1"/>
  <c r="E355" i="1"/>
  <c r="D355" i="1"/>
  <c r="AO354" i="1"/>
  <c r="AN354" i="1"/>
  <c r="AM354" i="1"/>
  <c r="AL354" i="1"/>
  <c r="AK354" i="1"/>
  <c r="AJ354" i="1"/>
  <c r="AI354" i="1"/>
  <c r="AG354" i="1"/>
  <c r="AE354" i="1"/>
  <c r="AD354" i="1"/>
  <c r="AB354" i="1"/>
  <c r="AA354" i="1"/>
  <c r="Z354" i="1"/>
  <c r="X354" i="1"/>
  <c r="W354" i="1"/>
  <c r="V354" i="1"/>
  <c r="S354" i="1"/>
  <c r="R354" i="1"/>
  <c r="Q354" i="1"/>
  <c r="O354" i="1"/>
  <c r="M354" i="1"/>
  <c r="L354" i="1"/>
  <c r="K354" i="1"/>
  <c r="J354" i="1"/>
  <c r="I354" i="1"/>
  <c r="H354" i="1"/>
  <c r="G354" i="1"/>
  <c r="F354" i="1"/>
  <c r="E354" i="1"/>
  <c r="D354" i="1"/>
  <c r="AO353" i="1"/>
  <c r="AN353" i="1"/>
  <c r="AM353" i="1"/>
  <c r="AL353" i="1"/>
  <c r="AK353" i="1"/>
  <c r="AJ353" i="1"/>
  <c r="AI353" i="1"/>
  <c r="AG353" i="1"/>
  <c r="AE353" i="1"/>
  <c r="AD353" i="1"/>
  <c r="AB353" i="1"/>
  <c r="AA353" i="1"/>
  <c r="Z353" i="1"/>
  <c r="X353" i="1"/>
  <c r="W353" i="1"/>
  <c r="V353" i="1"/>
  <c r="S353" i="1"/>
  <c r="R353" i="1"/>
  <c r="Q353" i="1"/>
  <c r="O353" i="1"/>
  <c r="M353" i="1"/>
  <c r="L353" i="1"/>
  <c r="K353" i="1"/>
  <c r="J353" i="1"/>
  <c r="I353" i="1"/>
  <c r="H353" i="1"/>
  <c r="G353" i="1"/>
  <c r="F353" i="1"/>
  <c r="E353" i="1"/>
  <c r="D353" i="1"/>
  <c r="AO352" i="1"/>
  <c r="AN352" i="1"/>
  <c r="AM352" i="1"/>
  <c r="AL352" i="1"/>
  <c r="AK352" i="1"/>
  <c r="AJ352" i="1"/>
  <c r="AI352" i="1"/>
  <c r="AG352" i="1"/>
  <c r="AE352" i="1"/>
  <c r="AD352" i="1"/>
  <c r="AB352" i="1"/>
  <c r="AA352" i="1"/>
  <c r="Z352" i="1"/>
  <c r="X352" i="1"/>
  <c r="W352" i="1"/>
  <c r="V352" i="1"/>
  <c r="S352" i="1"/>
  <c r="R352" i="1"/>
  <c r="Q352" i="1"/>
  <c r="O352" i="1"/>
  <c r="M352" i="1"/>
  <c r="L352" i="1"/>
  <c r="K352" i="1"/>
  <c r="J352" i="1"/>
  <c r="I352" i="1"/>
  <c r="H352" i="1"/>
  <c r="G352" i="1"/>
  <c r="F352" i="1"/>
  <c r="E352" i="1"/>
  <c r="D352" i="1"/>
  <c r="AO351" i="1"/>
  <c r="AN351" i="1"/>
  <c r="AM351" i="1"/>
  <c r="AL351" i="1"/>
  <c r="AK351" i="1"/>
  <c r="AJ351" i="1"/>
  <c r="AI351" i="1"/>
  <c r="AG351" i="1"/>
  <c r="AE351" i="1"/>
  <c r="AD351" i="1"/>
  <c r="AB351" i="1"/>
  <c r="AA351" i="1"/>
  <c r="Z351" i="1"/>
  <c r="X351" i="1"/>
  <c r="W351" i="1"/>
  <c r="V351" i="1"/>
  <c r="S351" i="1"/>
  <c r="R351" i="1"/>
  <c r="Q351" i="1"/>
  <c r="O351" i="1"/>
  <c r="M351" i="1"/>
  <c r="L351" i="1"/>
  <c r="K351" i="1"/>
  <c r="J351" i="1"/>
  <c r="I351" i="1"/>
  <c r="H351" i="1"/>
  <c r="G351" i="1"/>
  <c r="F351" i="1"/>
  <c r="E351" i="1"/>
  <c r="D351" i="1"/>
  <c r="AO350" i="1"/>
  <c r="AN350" i="1"/>
  <c r="AM350" i="1"/>
  <c r="AL350" i="1"/>
  <c r="AK350" i="1"/>
  <c r="AJ350" i="1"/>
  <c r="AI350" i="1"/>
  <c r="AG350" i="1"/>
  <c r="AE350" i="1"/>
  <c r="AD350" i="1"/>
  <c r="AB350" i="1"/>
  <c r="AA350" i="1"/>
  <c r="Z350" i="1"/>
  <c r="X350" i="1"/>
  <c r="W350" i="1"/>
  <c r="V350" i="1"/>
  <c r="S350" i="1"/>
  <c r="R350" i="1"/>
  <c r="Q350" i="1"/>
  <c r="O350" i="1"/>
  <c r="M350" i="1"/>
  <c r="L350" i="1"/>
  <c r="K350" i="1"/>
  <c r="J350" i="1"/>
  <c r="I350" i="1"/>
  <c r="H350" i="1"/>
  <c r="G350" i="1"/>
  <c r="F350" i="1"/>
  <c r="E350" i="1"/>
  <c r="D350" i="1"/>
  <c r="AO349" i="1"/>
  <c r="AN349" i="1"/>
  <c r="AM349" i="1"/>
  <c r="AL349" i="1"/>
  <c r="AK349" i="1"/>
  <c r="AJ349" i="1"/>
  <c r="AI349" i="1"/>
  <c r="AG349" i="1"/>
  <c r="AE349" i="1"/>
  <c r="AD349" i="1"/>
  <c r="AB349" i="1"/>
  <c r="AA349" i="1"/>
  <c r="Z349" i="1"/>
  <c r="X349" i="1"/>
  <c r="W349" i="1"/>
  <c r="V349" i="1"/>
  <c r="S349" i="1"/>
  <c r="R349" i="1"/>
  <c r="Q349" i="1"/>
  <c r="O349" i="1"/>
  <c r="M349" i="1"/>
  <c r="L349" i="1"/>
  <c r="K349" i="1"/>
  <c r="J349" i="1"/>
  <c r="I349" i="1"/>
  <c r="H349" i="1"/>
  <c r="G349" i="1"/>
  <c r="F349" i="1"/>
  <c r="E349" i="1"/>
  <c r="D349" i="1"/>
  <c r="AO348" i="1"/>
  <c r="AN348" i="1"/>
  <c r="AM348" i="1"/>
  <c r="AL348" i="1"/>
  <c r="AK348" i="1"/>
  <c r="AJ348" i="1"/>
  <c r="AI348" i="1"/>
  <c r="AG348" i="1"/>
  <c r="AE348" i="1"/>
  <c r="AD348" i="1"/>
  <c r="AB348" i="1"/>
  <c r="AA348" i="1"/>
  <c r="Z348" i="1"/>
  <c r="X348" i="1"/>
  <c r="W348" i="1"/>
  <c r="V348" i="1"/>
  <c r="S348" i="1"/>
  <c r="R348" i="1"/>
  <c r="Q348" i="1"/>
  <c r="O348" i="1"/>
  <c r="M348" i="1"/>
  <c r="L348" i="1"/>
  <c r="K348" i="1"/>
  <c r="J348" i="1"/>
  <c r="I348" i="1"/>
  <c r="H348" i="1"/>
  <c r="G348" i="1"/>
  <c r="F348" i="1"/>
  <c r="E348" i="1"/>
  <c r="D348" i="1"/>
  <c r="AO347" i="1"/>
  <c r="AN347" i="1"/>
  <c r="AM347" i="1"/>
  <c r="AL347" i="1"/>
  <c r="AK347" i="1"/>
  <c r="AJ347" i="1"/>
  <c r="AI347" i="1"/>
  <c r="AG347" i="1"/>
  <c r="AE347" i="1"/>
  <c r="AD347" i="1"/>
  <c r="AB347" i="1"/>
  <c r="AA347" i="1"/>
  <c r="Z347" i="1"/>
  <c r="X347" i="1"/>
  <c r="W347" i="1"/>
  <c r="V347" i="1"/>
  <c r="S347" i="1"/>
  <c r="R347" i="1"/>
  <c r="Q347" i="1"/>
  <c r="O347" i="1"/>
  <c r="M347" i="1"/>
  <c r="L347" i="1"/>
  <c r="K347" i="1"/>
  <c r="J347" i="1"/>
  <c r="I347" i="1"/>
  <c r="H347" i="1"/>
  <c r="G347" i="1"/>
  <c r="F347" i="1"/>
  <c r="E347" i="1"/>
  <c r="D347" i="1"/>
  <c r="AO346" i="1"/>
  <c r="AN346" i="1"/>
  <c r="AM346" i="1"/>
  <c r="AL346" i="1"/>
  <c r="AK346" i="1"/>
  <c r="AJ346" i="1"/>
  <c r="AI346" i="1"/>
  <c r="AG346" i="1"/>
  <c r="AE346" i="1"/>
  <c r="AD346" i="1"/>
  <c r="AB346" i="1"/>
  <c r="AA346" i="1"/>
  <c r="Z346" i="1"/>
  <c r="X346" i="1"/>
  <c r="W346" i="1"/>
  <c r="V346" i="1"/>
  <c r="S346" i="1"/>
  <c r="R346" i="1"/>
  <c r="Q346" i="1"/>
  <c r="O346" i="1"/>
  <c r="M346" i="1"/>
  <c r="L346" i="1"/>
  <c r="K346" i="1"/>
  <c r="J346" i="1"/>
  <c r="I346" i="1"/>
  <c r="H346" i="1"/>
  <c r="G346" i="1"/>
  <c r="F346" i="1"/>
  <c r="E346" i="1"/>
  <c r="D346" i="1"/>
  <c r="AO345" i="1"/>
  <c r="AN345" i="1"/>
  <c r="AM345" i="1"/>
  <c r="AL345" i="1"/>
  <c r="AK345" i="1"/>
  <c r="AJ345" i="1"/>
  <c r="AI345" i="1"/>
  <c r="AG345" i="1"/>
  <c r="AE345" i="1"/>
  <c r="AD345" i="1"/>
  <c r="AB345" i="1"/>
  <c r="AA345" i="1"/>
  <c r="Z345" i="1"/>
  <c r="X345" i="1"/>
  <c r="W345" i="1"/>
  <c r="V345" i="1"/>
  <c r="S345" i="1"/>
  <c r="R345" i="1"/>
  <c r="Q345" i="1"/>
  <c r="O345" i="1"/>
  <c r="M345" i="1"/>
  <c r="L345" i="1"/>
  <c r="K345" i="1"/>
  <c r="J345" i="1"/>
  <c r="I345" i="1"/>
  <c r="H345" i="1"/>
  <c r="G345" i="1"/>
  <c r="F345" i="1"/>
  <c r="E345" i="1"/>
  <c r="D345" i="1"/>
  <c r="AO344" i="1"/>
  <c r="AN344" i="1"/>
  <c r="AM344" i="1"/>
  <c r="AL344" i="1"/>
  <c r="AK344" i="1"/>
  <c r="AJ344" i="1"/>
  <c r="AI344" i="1"/>
  <c r="AG344" i="1"/>
  <c r="AE344" i="1"/>
  <c r="AD344" i="1"/>
  <c r="AB344" i="1"/>
  <c r="AA344" i="1"/>
  <c r="Z344" i="1"/>
  <c r="X344" i="1"/>
  <c r="W344" i="1"/>
  <c r="V344" i="1"/>
  <c r="S344" i="1"/>
  <c r="R344" i="1"/>
  <c r="Q344" i="1"/>
  <c r="O344" i="1"/>
  <c r="M344" i="1"/>
  <c r="L344" i="1"/>
  <c r="K344" i="1"/>
  <c r="J344" i="1"/>
  <c r="I344" i="1"/>
  <c r="H344" i="1"/>
  <c r="G344" i="1"/>
  <c r="F344" i="1"/>
  <c r="E344" i="1"/>
  <c r="D344" i="1"/>
  <c r="AO343" i="1"/>
  <c r="AN343" i="1"/>
  <c r="AM343" i="1"/>
  <c r="AL343" i="1"/>
  <c r="AK343" i="1"/>
  <c r="AJ343" i="1"/>
  <c r="AI343" i="1"/>
  <c r="AG343" i="1"/>
  <c r="AE343" i="1"/>
  <c r="AD343" i="1"/>
  <c r="AB343" i="1"/>
  <c r="AA343" i="1"/>
  <c r="Z343" i="1"/>
  <c r="X343" i="1"/>
  <c r="W343" i="1"/>
  <c r="V343" i="1"/>
  <c r="S343" i="1"/>
  <c r="R343" i="1"/>
  <c r="Q343" i="1"/>
  <c r="O343" i="1"/>
  <c r="M343" i="1"/>
  <c r="L343" i="1"/>
  <c r="K343" i="1"/>
  <c r="J343" i="1"/>
  <c r="I343" i="1"/>
  <c r="H343" i="1"/>
  <c r="G343" i="1"/>
  <c r="F343" i="1"/>
  <c r="E343" i="1"/>
  <c r="D343" i="1"/>
  <c r="AO342" i="1"/>
  <c r="AN342" i="1"/>
  <c r="AM342" i="1"/>
  <c r="AL342" i="1"/>
  <c r="AK342" i="1"/>
  <c r="AJ342" i="1"/>
  <c r="AI342" i="1"/>
  <c r="AG342" i="1"/>
  <c r="AE342" i="1"/>
  <c r="AD342" i="1"/>
  <c r="AB342" i="1"/>
  <c r="AA342" i="1"/>
  <c r="Z342" i="1"/>
  <c r="X342" i="1"/>
  <c r="W342" i="1"/>
  <c r="V342" i="1"/>
  <c r="S342" i="1"/>
  <c r="R342" i="1"/>
  <c r="Q342" i="1"/>
  <c r="O342" i="1"/>
  <c r="M342" i="1"/>
  <c r="L342" i="1"/>
  <c r="K342" i="1"/>
  <c r="J342" i="1"/>
  <c r="I342" i="1"/>
  <c r="H342" i="1"/>
  <c r="G342" i="1"/>
  <c r="F342" i="1"/>
  <c r="E342" i="1"/>
  <c r="D342" i="1"/>
  <c r="AO341" i="1"/>
  <c r="AN341" i="1"/>
  <c r="AM341" i="1"/>
  <c r="AL341" i="1"/>
  <c r="AK341" i="1"/>
  <c r="AJ341" i="1"/>
  <c r="AI341" i="1"/>
  <c r="AG341" i="1"/>
  <c r="AE341" i="1"/>
  <c r="AD341" i="1"/>
  <c r="AB341" i="1"/>
  <c r="AA341" i="1"/>
  <c r="Z341" i="1"/>
  <c r="X341" i="1"/>
  <c r="W341" i="1"/>
  <c r="V341" i="1"/>
  <c r="S341" i="1"/>
  <c r="R341" i="1"/>
  <c r="Q341" i="1"/>
  <c r="O341" i="1"/>
  <c r="M341" i="1"/>
  <c r="L341" i="1"/>
  <c r="K341" i="1"/>
  <c r="J341" i="1"/>
  <c r="I341" i="1"/>
  <c r="H341" i="1"/>
  <c r="G341" i="1"/>
  <c r="F341" i="1"/>
  <c r="E341" i="1"/>
  <c r="D341" i="1"/>
  <c r="AO340" i="1"/>
  <c r="AN340" i="1"/>
  <c r="AM340" i="1"/>
  <c r="AL340" i="1"/>
  <c r="AK340" i="1"/>
  <c r="AJ340" i="1"/>
  <c r="AI340" i="1"/>
  <c r="AG340" i="1"/>
  <c r="AE340" i="1"/>
  <c r="AD340" i="1"/>
  <c r="AB340" i="1"/>
  <c r="AA340" i="1"/>
  <c r="Z340" i="1"/>
  <c r="X340" i="1"/>
  <c r="W340" i="1"/>
  <c r="V340" i="1"/>
  <c r="S340" i="1"/>
  <c r="R340" i="1"/>
  <c r="Q340" i="1"/>
  <c r="O340" i="1"/>
  <c r="M340" i="1"/>
  <c r="L340" i="1"/>
  <c r="K340" i="1"/>
  <c r="J340" i="1"/>
  <c r="I340" i="1"/>
  <c r="H340" i="1"/>
  <c r="G340" i="1"/>
  <c r="F340" i="1"/>
  <c r="E340" i="1"/>
  <c r="D340" i="1"/>
  <c r="AO339" i="1"/>
  <c r="AN339" i="1"/>
  <c r="AM339" i="1"/>
  <c r="AL339" i="1"/>
  <c r="AK339" i="1"/>
  <c r="AJ339" i="1"/>
  <c r="AI339" i="1"/>
  <c r="AG339" i="1"/>
  <c r="AE339" i="1"/>
  <c r="AD339" i="1"/>
  <c r="AB339" i="1"/>
  <c r="AA339" i="1"/>
  <c r="Z339" i="1"/>
  <c r="X339" i="1"/>
  <c r="W339" i="1"/>
  <c r="V339" i="1"/>
  <c r="S339" i="1"/>
  <c r="R339" i="1"/>
  <c r="Q339" i="1"/>
  <c r="O339" i="1"/>
  <c r="M339" i="1"/>
  <c r="L339" i="1"/>
  <c r="K339" i="1"/>
  <c r="J339" i="1"/>
  <c r="I339" i="1"/>
  <c r="H339" i="1"/>
  <c r="G339" i="1"/>
  <c r="F339" i="1"/>
  <c r="E339" i="1"/>
  <c r="D339" i="1"/>
  <c r="AO338" i="1"/>
  <c r="AN338" i="1"/>
  <c r="AM338" i="1"/>
  <c r="AL338" i="1"/>
  <c r="AK338" i="1"/>
  <c r="AJ338" i="1"/>
  <c r="AI338" i="1"/>
  <c r="AG338" i="1"/>
  <c r="AE338" i="1"/>
  <c r="AD338" i="1"/>
  <c r="AB338" i="1"/>
  <c r="AA338" i="1"/>
  <c r="Z338" i="1"/>
  <c r="X338" i="1"/>
  <c r="W338" i="1"/>
  <c r="V338" i="1"/>
  <c r="S338" i="1"/>
  <c r="R338" i="1"/>
  <c r="Q338" i="1"/>
  <c r="O338" i="1"/>
  <c r="M338" i="1"/>
  <c r="L338" i="1"/>
  <c r="K338" i="1"/>
  <c r="J338" i="1"/>
  <c r="I338" i="1"/>
  <c r="H338" i="1"/>
  <c r="G338" i="1"/>
  <c r="F338" i="1"/>
  <c r="E338" i="1"/>
  <c r="D338" i="1"/>
  <c r="AO337" i="1"/>
  <c r="AN337" i="1"/>
  <c r="AM337" i="1"/>
  <c r="AL337" i="1"/>
  <c r="AK337" i="1"/>
  <c r="AJ337" i="1"/>
  <c r="AI337" i="1"/>
  <c r="AG337" i="1"/>
  <c r="AE337" i="1"/>
  <c r="AD337" i="1"/>
  <c r="AB337" i="1"/>
  <c r="AA337" i="1"/>
  <c r="Z337" i="1"/>
  <c r="X337" i="1"/>
  <c r="W337" i="1"/>
  <c r="V337" i="1"/>
  <c r="S337" i="1"/>
  <c r="R337" i="1"/>
  <c r="Q337" i="1"/>
  <c r="O337" i="1"/>
  <c r="M337" i="1"/>
  <c r="L337" i="1"/>
  <c r="K337" i="1"/>
  <c r="J337" i="1"/>
  <c r="I337" i="1"/>
  <c r="H337" i="1"/>
  <c r="G337" i="1"/>
  <c r="F337" i="1"/>
  <c r="E337" i="1"/>
  <c r="D337" i="1"/>
  <c r="AO336" i="1"/>
  <c r="AN336" i="1"/>
  <c r="AM336" i="1"/>
  <c r="AL336" i="1"/>
  <c r="AK336" i="1"/>
  <c r="AJ336" i="1"/>
  <c r="AI336" i="1"/>
  <c r="AG336" i="1"/>
  <c r="AE336" i="1"/>
  <c r="AD336" i="1"/>
  <c r="AB336" i="1"/>
  <c r="AA336" i="1"/>
  <c r="Z336" i="1"/>
  <c r="X336" i="1"/>
  <c r="W336" i="1"/>
  <c r="V336" i="1"/>
  <c r="S336" i="1"/>
  <c r="R336" i="1"/>
  <c r="Q336" i="1"/>
  <c r="O336" i="1"/>
  <c r="M336" i="1"/>
  <c r="L336" i="1"/>
  <c r="K336" i="1"/>
  <c r="J336" i="1"/>
  <c r="I336" i="1"/>
  <c r="H336" i="1"/>
  <c r="G336" i="1"/>
  <c r="F336" i="1"/>
  <c r="E336" i="1"/>
  <c r="D336" i="1"/>
  <c r="AO335" i="1"/>
  <c r="AN335" i="1"/>
  <c r="AM335" i="1"/>
  <c r="AL335" i="1"/>
  <c r="AK335" i="1"/>
  <c r="AJ335" i="1"/>
  <c r="AI335" i="1"/>
  <c r="AG335" i="1"/>
  <c r="AE335" i="1"/>
  <c r="AD335" i="1"/>
  <c r="AB335" i="1"/>
  <c r="AA335" i="1"/>
  <c r="Z335" i="1"/>
  <c r="X335" i="1"/>
  <c r="W335" i="1"/>
  <c r="V335" i="1"/>
  <c r="S335" i="1"/>
  <c r="R335" i="1"/>
  <c r="Q335" i="1"/>
  <c r="O335" i="1"/>
  <c r="M335" i="1"/>
  <c r="L335" i="1"/>
  <c r="K335" i="1"/>
  <c r="J335" i="1"/>
  <c r="I335" i="1"/>
  <c r="H335" i="1"/>
  <c r="G335" i="1"/>
  <c r="F335" i="1"/>
  <c r="E335" i="1"/>
  <c r="D335" i="1"/>
  <c r="AO334" i="1"/>
  <c r="AN334" i="1"/>
  <c r="AM334" i="1"/>
  <c r="AL334" i="1"/>
  <c r="AK334" i="1"/>
  <c r="AJ334" i="1"/>
  <c r="AI334" i="1"/>
  <c r="AG334" i="1"/>
  <c r="AE334" i="1"/>
  <c r="AD334" i="1"/>
  <c r="AB334" i="1"/>
  <c r="AA334" i="1"/>
  <c r="Z334" i="1"/>
  <c r="X334" i="1"/>
  <c r="W334" i="1"/>
  <c r="V334" i="1"/>
  <c r="S334" i="1"/>
  <c r="R334" i="1"/>
  <c r="Q334" i="1"/>
  <c r="O334" i="1"/>
  <c r="M334" i="1"/>
  <c r="L334" i="1"/>
  <c r="K334" i="1"/>
  <c r="J334" i="1"/>
  <c r="I334" i="1"/>
  <c r="H334" i="1"/>
  <c r="G334" i="1"/>
  <c r="F334" i="1"/>
  <c r="E334" i="1"/>
  <c r="D334" i="1"/>
  <c r="AO333" i="1"/>
  <c r="AN333" i="1"/>
  <c r="AM333" i="1"/>
  <c r="AL333" i="1"/>
  <c r="AK333" i="1"/>
  <c r="AJ333" i="1"/>
  <c r="AI333" i="1"/>
  <c r="AG333" i="1"/>
  <c r="AE333" i="1"/>
  <c r="AD333" i="1"/>
  <c r="AB333" i="1"/>
  <c r="AA333" i="1"/>
  <c r="Z333" i="1"/>
  <c r="X333" i="1"/>
  <c r="W333" i="1"/>
  <c r="V333" i="1"/>
  <c r="S333" i="1"/>
  <c r="R333" i="1"/>
  <c r="Q333" i="1"/>
  <c r="O333" i="1"/>
  <c r="M333" i="1"/>
  <c r="L333" i="1"/>
  <c r="K333" i="1"/>
  <c r="J333" i="1"/>
  <c r="I333" i="1"/>
  <c r="H333" i="1"/>
  <c r="G333" i="1"/>
  <c r="F333" i="1"/>
  <c r="E333" i="1"/>
  <c r="D333" i="1"/>
  <c r="AO332" i="1"/>
  <c r="AN332" i="1"/>
  <c r="AM332" i="1"/>
  <c r="AL332" i="1"/>
  <c r="AK332" i="1"/>
  <c r="AJ332" i="1"/>
  <c r="AI332" i="1"/>
  <c r="AG332" i="1"/>
  <c r="AE332" i="1"/>
  <c r="AD332" i="1"/>
  <c r="AB332" i="1"/>
  <c r="AA332" i="1"/>
  <c r="Z332" i="1"/>
  <c r="X332" i="1"/>
  <c r="W332" i="1"/>
  <c r="V332" i="1"/>
  <c r="S332" i="1"/>
  <c r="R332" i="1"/>
  <c r="Q332" i="1"/>
  <c r="O332" i="1"/>
  <c r="M332" i="1"/>
  <c r="L332" i="1"/>
  <c r="K332" i="1"/>
  <c r="J332" i="1"/>
  <c r="I332" i="1"/>
  <c r="H332" i="1"/>
  <c r="G332" i="1"/>
  <c r="F332" i="1"/>
  <c r="E332" i="1"/>
  <c r="D332" i="1"/>
  <c r="AO331" i="1"/>
  <c r="AN331" i="1"/>
  <c r="AM331" i="1"/>
  <c r="AL331" i="1"/>
  <c r="AK331" i="1"/>
  <c r="AJ331" i="1"/>
  <c r="AI331" i="1"/>
  <c r="AG331" i="1"/>
  <c r="AE331" i="1"/>
  <c r="AD331" i="1"/>
  <c r="AB331" i="1"/>
  <c r="AA331" i="1"/>
  <c r="Z331" i="1"/>
  <c r="X331" i="1"/>
  <c r="W331" i="1"/>
  <c r="V331" i="1"/>
  <c r="S331" i="1"/>
  <c r="R331" i="1"/>
  <c r="Q331" i="1"/>
  <c r="O331" i="1"/>
  <c r="M331" i="1"/>
  <c r="L331" i="1"/>
  <c r="K331" i="1"/>
  <c r="J331" i="1"/>
  <c r="I331" i="1"/>
  <c r="H331" i="1"/>
  <c r="G331" i="1"/>
  <c r="F331" i="1"/>
  <c r="E331" i="1"/>
  <c r="D331" i="1"/>
  <c r="AO330" i="1"/>
  <c r="AN330" i="1"/>
  <c r="AM330" i="1"/>
  <c r="AL330" i="1"/>
  <c r="AK330" i="1"/>
  <c r="AJ330" i="1"/>
  <c r="AI330" i="1"/>
  <c r="AG330" i="1"/>
  <c r="AE330" i="1"/>
  <c r="AD330" i="1"/>
  <c r="AB330" i="1"/>
  <c r="AA330" i="1"/>
  <c r="Z330" i="1"/>
  <c r="X330" i="1"/>
  <c r="W330" i="1"/>
  <c r="V330" i="1"/>
  <c r="S330" i="1"/>
  <c r="R330" i="1"/>
  <c r="Q330" i="1"/>
  <c r="O330" i="1"/>
  <c r="M330" i="1"/>
  <c r="L330" i="1"/>
  <c r="K330" i="1"/>
  <c r="J330" i="1"/>
  <c r="I330" i="1"/>
  <c r="H330" i="1"/>
  <c r="G330" i="1"/>
  <c r="F330" i="1"/>
  <c r="E330" i="1"/>
  <c r="D330" i="1"/>
  <c r="AO329" i="1"/>
  <c r="AN329" i="1"/>
  <c r="AM329" i="1"/>
  <c r="AL329" i="1"/>
  <c r="AK329" i="1"/>
  <c r="AJ329" i="1"/>
  <c r="AI329" i="1"/>
  <c r="AG329" i="1"/>
  <c r="AE329" i="1"/>
  <c r="AD329" i="1"/>
  <c r="AB329" i="1"/>
  <c r="AA329" i="1"/>
  <c r="Z329" i="1"/>
  <c r="X329" i="1"/>
  <c r="W329" i="1"/>
  <c r="V329" i="1"/>
  <c r="S329" i="1"/>
  <c r="R329" i="1"/>
  <c r="Q329" i="1"/>
  <c r="O329" i="1"/>
  <c r="M329" i="1"/>
  <c r="L329" i="1"/>
  <c r="K329" i="1"/>
  <c r="J329" i="1"/>
  <c r="I329" i="1"/>
  <c r="H329" i="1"/>
  <c r="G329" i="1"/>
  <c r="F329" i="1"/>
  <c r="E329" i="1"/>
  <c r="D329" i="1"/>
  <c r="AO328" i="1"/>
  <c r="AN328" i="1"/>
  <c r="AM328" i="1"/>
  <c r="AL328" i="1"/>
  <c r="AK328" i="1"/>
  <c r="AJ328" i="1"/>
  <c r="AI328" i="1"/>
  <c r="AG328" i="1"/>
  <c r="AE328" i="1"/>
  <c r="AD328" i="1"/>
  <c r="AB328" i="1"/>
  <c r="AA328" i="1"/>
  <c r="Z328" i="1"/>
  <c r="X328" i="1"/>
  <c r="W328" i="1"/>
  <c r="V328" i="1"/>
  <c r="S328" i="1"/>
  <c r="R328" i="1"/>
  <c r="Q328" i="1"/>
  <c r="O328" i="1"/>
  <c r="M328" i="1"/>
  <c r="L328" i="1"/>
  <c r="K328" i="1"/>
  <c r="J328" i="1"/>
  <c r="I328" i="1"/>
  <c r="H328" i="1"/>
  <c r="G328" i="1"/>
  <c r="F328" i="1"/>
  <c r="E328" i="1"/>
  <c r="D328" i="1"/>
  <c r="AO327" i="1"/>
  <c r="AN327" i="1"/>
  <c r="AM327" i="1"/>
  <c r="AL327" i="1"/>
  <c r="AK327" i="1"/>
  <c r="AJ327" i="1"/>
  <c r="AI327" i="1"/>
  <c r="AG327" i="1"/>
  <c r="AE327" i="1"/>
  <c r="AD327" i="1"/>
  <c r="AB327" i="1"/>
  <c r="AA327" i="1"/>
  <c r="Z327" i="1"/>
  <c r="X327" i="1"/>
  <c r="W327" i="1"/>
  <c r="V327" i="1"/>
  <c r="S327" i="1"/>
  <c r="R327" i="1"/>
  <c r="Q327" i="1"/>
  <c r="O327" i="1"/>
  <c r="M327" i="1"/>
  <c r="L327" i="1"/>
  <c r="K327" i="1"/>
  <c r="J327" i="1"/>
  <c r="I327" i="1"/>
  <c r="H327" i="1"/>
  <c r="G327" i="1"/>
  <c r="F327" i="1"/>
  <c r="E327" i="1"/>
  <c r="D327" i="1"/>
  <c r="AO326" i="1"/>
  <c r="AN326" i="1"/>
  <c r="AM326" i="1"/>
  <c r="AL326" i="1"/>
  <c r="AK326" i="1"/>
  <c r="AJ326" i="1"/>
  <c r="AI326" i="1"/>
  <c r="AG326" i="1"/>
  <c r="AE326" i="1"/>
  <c r="AD326" i="1"/>
  <c r="AB326" i="1"/>
  <c r="AA326" i="1"/>
  <c r="Z326" i="1"/>
  <c r="X326" i="1"/>
  <c r="W326" i="1"/>
  <c r="V326" i="1"/>
  <c r="S326" i="1"/>
  <c r="R326" i="1"/>
  <c r="Q326" i="1"/>
  <c r="O326" i="1"/>
  <c r="M326" i="1"/>
  <c r="L326" i="1"/>
  <c r="K326" i="1"/>
  <c r="J326" i="1"/>
  <c r="I326" i="1"/>
  <c r="H326" i="1"/>
  <c r="G326" i="1"/>
  <c r="F326" i="1"/>
  <c r="E326" i="1"/>
  <c r="D326" i="1"/>
  <c r="AO325" i="1"/>
  <c r="AN325" i="1"/>
  <c r="AM325" i="1"/>
  <c r="AL325" i="1"/>
  <c r="AK325" i="1"/>
  <c r="AJ325" i="1"/>
  <c r="AI325" i="1"/>
  <c r="AG325" i="1"/>
  <c r="AE325" i="1"/>
  <c r="AD325" i="1"/>
  <c r="AB325" i="1"/>
  <c r="AA325" i="1"/>
  <c r="Z325" i="1"/>
  <c r="X325" i="1"/>
  <c r="W325" i="1"/>
  <c r="V325" i="1"/>
  <c r="S325" i="1"/>
  <c r="R325" i="1"/>
  <c r="Q325" i="1"/>
  <c r="O325" i="1"/>
  <c r="M325" i="1"/>
  <c r="L325" i="1"/>
  <c r="K325" i="1"/>
  <c r="J325" i="1"/>
  <c r="I325" i="1"/>
  <c r="H325" i="1"/>
  <c r="G325" i="1"/>
  <c r="F325" i="1"/>
  <c r="E325" i="1"/>
  <c r="D325" i="1"/>
  <c r="AO324" i="1"/>
  <c r="AN324" i="1"/>
  <c r="AM324" i="1"/>
  <c r="AL324" i="1"/>
  <c r="AK324" i="1"/>
  <c r="AJ324" i="1"/>
  <c r="AI324" i="1"/>
  <c r="AG324" i="1"/>
  <c r="AE324" i="1"/>
  <c r="AD324" i="1"/>
  <c r="AB324" i="1"/>
  <c r="AA324" i="1"/>
  <c r="Z324" i="1"/>
  <c r="X324" i="1"/>
  <c r="W324" i="1"/>
  <c r="V324" i="1"/>
  <c r="S324" i="1"/>
  <c r="R324" i="1"/>
  <c r="Q324" i="1"/>
  <c r="O324" i="1"/>
  <c r="M324" i="1"/>
  <c r="L324" i="1"/>
  <c r="K324" i="1"/>
  <c r="J324" i="1"/>
  <c r="I324" i="1"/>
  <c r="H324" i="1"/>
  <c r="G324" i="1"/>
  <c r="F324" i="1"/>
  <c r="E324" i="1"/>
  <c r="D324" i="1"/>
  <c r="AO323" i="1"/>
  <c r="AN323" i="1"/>
  <c r="AM323" i="1"/>
  <c r="AL323" i="1"/>
  <c r="AK323" i="1"/>
  <c r="AJ323" i="1"/>
  <c r="AI323" i="1"/>
  <c r="AG323" i="1"/>
  <c r="AE323" i="1"/>
  <c r="AD323" i="1"/>
  <c r="AB323" i="1"/>
  <c r="AA323" i="1"/>
  <c r="Z323" i="1"/>
  <c r="X323" i="1"/>
  <c r="W323" i="1"/>
  <c r="V323" i="1"/>
  <c r="S323" i="1"/>
  <c r="R323" i="1"/>
  <c r="Q323" i="1"/>
  <c r="O323" i="1"/>
  <c r="M323" i="1"/>
  <c r="L323" i="1"/>
  <c r="K323" i="1"/>
  <c r="J323" i="1"/>
  <c r="I323" i="1"/>
  <c r="H323" i="1"/>
  <c r="G323" i="1"/>
  <c r="F323" i="1"/>
  <c r="E323" i="1"/>
  <c r="D323" i="1"/>
  <c r="AO322" i="1"/>
  <c r="AN322" i="1"/>
  <c r="AM322" i="1"/>
  <c r="AL322" i="1"/>
  <c r="AK322" i="1"/>
  <c r="AJ322" i="1"/>
  <c r="AI322" i="1"/>
  <c r="AG322" i="1"/>
  <c r="AE322" i="1"/>
  <c r="AD322" i="1"/>
  <c r="AB322" i="1"/>
  <c r="AA322" i="1"/>
  <c r="Z322" i="1"/>
  <c r="X322" i="1"/>
  <c r="W322" i="1"/>
  <c r="V322" i="1"/>
  <c r="S322" i="1"/>
  <c r="R322" i="1"/>
  <c r="Q322" i="1"/>
  <c r="O322" i="1"/>
  <c r="M322" i="1"/>
  <c r="L322" i="1"/>
  <c r="K322" i="1"/>
  <c r="J322" i="1"/>
  <c r="I322" i="1"/>
  <c r="H322" i="1"/>
  <c r="G322" i="1"/>
  <c r="F322" i="1"/>
  <c r="E322" i="1"/>
  <c r="D322" i="1"/>
  <c r="AO321" i="1"/>
  <c r="AN321" i="1"/>
  <c r="AM321" i="1"/>
  <c r="AL321" i="1"/>
  <c r="AK321" i="1"/>
  <c r="AJ321" i="1"/>
  <c r="AI321" i="1"/>
  <c r="AG321" i="1"/>
  <c r="AE321" i="1"/>
  <c r="AD321" i="1"/>
  <c r="AB321" i="1"/>
  <c r="AA321" i="1"/>
  <c r="Z321" i="1"/>
  <c r="X321" i="1"/>
  <c r="W321" i="1"/>
  <c r="V321" i="1"/>
  <c r="S321" i="1"/>
  <c r="R321" i="1"/>
  <c r="Q321" i="1"/>
  <c r="O321" i="1"/>
  <c r="M321" i="1"/>
  <c r="L321" i="1"/>
  <c r="K321" i="1"/>
  <c r="J321" i="1"/>
  <c r="I321" i="1"/>
  <c r="H321" i="1"/>
  <c r="G321" i="1"/>
  <c r="F321" i="1"/>
  <c r="E321" i="1"/>
  <c r="D321" i="1"/>
  <c r="AO320" i="1"/>
  <c r="AN320" i="1"/>
  <c r="AM320" i="1"/>
  <c r="AL320" i="1"/>
  <c r="AK320" i="1"/>
  <c r="AJ320" i="1"/>
  <c r="AI320" i="1"/>
  <c r="AG320" i="1"/>
  <c r="AE320" i="1"/>
  <c r="AD320" i="1"/>
  <c r="AB320" i="1"/>
  <c r="AA320" i="1"/>
  <c r="Z320" i="1"/>
  <c r="X320" i="1"/>
  <c r="W320" i="1"/>
  <c r="V320" i="1"/>
  <c r="S320" i="1"/>
  <c r="R320" i="1"/>
  <c r="Q320" i="1"/>
  <c r="O320" i="1"/>
  <c r="M320" i="1"/>
  <c r="L320" i="1"/>
  <c r="K320" i="1"/>
  <c r="J320" i="1"/>
  <c r="I320" i="1"/>
  <c r="H320" i="1"/>
  <c r="G320" i="1"/>
  <c r="F320" i="1"/>
  <c r="E320" i="1"/>
  <c r="D320" i="1"/>
  <c r="AO319" i="1"/>
  <c r="AN319" i="1"/>
  <c r="AM319" i="1"/>
  <c r="AL319" i="1"/>
  <c r="AK319" i="1"/>
  <c r="AJ319" i="1"/>
  <c r="AI319" i="1"/>
  <c r="AG319" i="1"/>
  <c r="AE319" i="1"/>
  <c r="AD319" i="1"/>
  <c r="AB319" i="1"/>
  <c r="AA319" i="1"/>
  <c r="Z319" i="1"/>
  <c r="X319" i="1"/>
  <c r="W319" i="1"/>
  <c r="V319" i="1"/>
  <c r="S319" i="1"/>
  <c r="R319" i="1"/>
  <c r="Q319" i="1"/>
  <c r="O319" i="1"/>
  <c r="M319" i="1"/>
  <c r="L319" i="1"/>
  <c r="K319" i="1"/>
  <c r="J319" i="1"/>
  <c r="I319" i="1"/>
  <c r="H319" i="1"/>
  <c r="G319" i="1"/>
  <c r="F319" i="1"/>
  <c r="E319" i="1"/>
  <c r="D319" i="1"/>
  <c r="AO318" i="1"/>
  <c r="AN318" i="1"/>
  <c r="AM318" i="1"/>
  <c r="AL318" i="1"/>
  <c r="AK318" i="1"/>
  <c r="AJ318" i="1"/>
  <c r="AI318" i="1"/>
  <c r="AG318" i="1"/>
  <c r="AE318" i="1"/>
  <c r="AD318" i="1"/>
  <c r="AB318" i="1"/>
  <c r="AA318" i="1"/>
  <c r="Z318" i="1"/>
  <c r="X318" i="1"/>
  <c r="W318" i="1"/>
  <c r="V318" i="1"/>
  <c r="S318" i="1"/>
  <c r="R318" i="1"/>
  <c r="Q318" i="1"/>
  <c r="O318" i="1"/>
  <c r="M318" i="1"/>
  <c r="L318" i="1"/>
  <c r="K318" i="1"/>
  <c r="J318" i="1"/>
  <c r="I318" i="1"/>
  <c r="H318" i="1"/>
  <c r="G318" i="1"/>
  <c r="F318" i="1"/>
  <c r="E318" i="1"/>
  <c r="D318" i="1"/>
  <c r="AO317" i="1"/>
  <c r="AN317" i="1"/>
  <c r="AM317" i="1"/>
  <c r="AL317" i="1"/>
  <c r="AK317" i="1"/>
  <c r="AJ317" i="1"/>
  <c r="AI317" i="1"/>
  <c r="AG317" i="1"/>
  <c r="AE317" i="1"/>
  <c r="AD317" i="1"/>
  <c r="AB317" i="1"/>
  <c r="AA317" i="1"/>
  <c r="Z317" i="1"/>
  <c r="X317" i="1"/>
  <c r="W317" i="1"/>
  <c r="V317" i="1"/>
  <c r="S317" i="1"/>
  <c r="R317" i="1"/>
  <c r="Q317" i="1"/>
  <c r="O317" i="1"/>
  <c r="M317" i="1"/>
  <c r="L317" i="1"/>
  <c r="K317" i="1"/>
  <c r="J317" i="1"/>
  <c r="I317" i="1"/>
  <c r="H317" i="1"/>
  <c r="G317" i="1"/>
  <c r="F317" i="1"/>
  <c r="E317" i="1"/>
  <c r="D317" i="1"/>
  <c r="AO316" i="1"/>
  <c r="AN316" i="1"/>
  <c r="AM316" i="1"/>
  <c r="AL316" i="1"/>
  <c r="AK316" i="1"/>
  <c r="AJ316" i="1"/>
  <c r="AI316" i="1"/>
  <c r="AG316" i="1"/>
  <c r="AE316" i="1"/>
  <c r="AD316" i="1"/>
  <c r="AB316" i="1"/>
  <c r="AA316" i="1"/>
  <c r="Z316" i="1"/>
  <c r="X316" i="1"/>
  <c r="W316" i="1"/>
  <c r="V316" i="1"/>
  <c r="S316" i="1"/>
  <c r="R316" i="1"/>
  <c r="Q316" i="1"/>
  <c r="O316" i="1"/>
  <c r="M316" i="1"/>
  <c r="L316" i="1"/>
  <c r="K316" i="1"/>
  <c r="J316" i="1"/>
  <c r="I316" i="1"/>
  <c r="H316" i="1"/>
  <c r="G316" i="1"/>
  <c r="F316" i="1"/>
  <c r="E316" i="1"/>
  <c r="D316" i="1"/>
  <c r="AO315" i="1"/>
  <c r="AN315" i="1"/>
  <c r="AM315" i="1"/>
  <c r="AL315" i="1"/>
  <c r="AK315" i="1"/>
  <c r="AJ315" i="1"/>
  <c r="AI315" i="1"/>
  <c r="AG315" i="1"/>
  <c r="AE315" i="1"/>
  <c r="AD315" i="1"/>
  <c r="AB315" i="1"/>
  <c r="AA315" i="1"/>
  <c r="Z315" i="1"/>
  <c r="X315" i="1"/>
  <c r="W315" i="1"/>
  <c r="V315" i="1"/>
  <c r="S315" i="1"/>
  <c r="R315" i="1"/>
  <c r="Q315" i="1"/>
  <c r="O315" i="1"/>
  <c r="M315" i="1"/>
  <c r="L315" i="1"/>
  <c r="K315" i="1"/>
  <c r="J315" i="1"/>
  <c r="I315" i="1"/>
  <c r="H315" i="1"/>
  <c r="G315" i="1"/>
  <c r="F315" i="1"/>
  <c r="E315" i="1"/>
  <c r="D315" i="1"/>
  <c r="AO314" i="1"/>
  <c r="AN314" i="1"/>
  <c r="AM314" i="1"/>
  <c r="AL314" i="1"/>
  <c r="AK314" i="1"/>
  <c r="AJ314" i="1"/>
  <c r="AI314" i="1"/>
  <c r="AG314" i="1"/>
  <c r="AE314" i="1"/>
  <c r="AD314" i="1"/>
  <c r="AB314" i="1"/>
  <c r="AA314" i="1"/>
  <c r="Z314" i="1"/>
  <c r="X314" i="1"/>
  <c r="W314" i="1"/>
  <c r="V314" i="1"/>
  <c r="S314" i="1"/>
  <c r="R314" i="1"/>
  <c r="Q314" i="1"/>
  <c r="O314" i="1"/>
  <c r="M314" i="1"/>
  <c r="L314" i="1"/>
  <c r="K314" i="1"/>
  <c r="J314" i="1"/>
  <c r="I314" i="1"/>
  <c r="H314" i="1"/>
  <c r="G314" i="1"/>
  <c r="F314" i="1"/>
  <c r="E314" i="1"/>
  <c r="D314" i="1"/>
  <c r="AO313" i="1"/>
  <c r="AN313" i="1"/>
  <c r="AM313" i="1"/>
  <c r="AL313" i="1"/>
  <c r="AK313" i="1"/>
  <c r="AJ313" i="1"/>
  <c r="AI313" i="1"/>
  <c r="AG313" i="1"/>
  <c r="AE313" i="1"/>
  <c r="AD313" i="1"/>
  <c r="AB313" i="1"/>
  <c r="AA313" i="1"/>
  <c r="Z313" i="1"/>
  <c r="X313" i="1"/>
  <c r="W313" i="1"/>
  <c r="V313" i="1"/>
  <c r="S313" i="1"/>
  <c r="R313" i="1"/>
  <c r="Q313" i="1"/>
  <c r="O313" i="1"/>
  <c r="M313" i="1"/>
  <c r="L313" i="1"/>
  <c r="K313" i="1"/>
  <c r="J313" i="1"/>
  <c r="I313" i="1"/>
  <c r="H313" i="1"/>
  <c r="G313" i="1"/>
  <c r="F313" i="1"/>
  <c r="E313" i="1"/>
  <c r="D313" i="1"/>
  <c r="AO312" i="1"/>
  <c r="AN312" i="1"/>
  <c r="AM312" i="1"/>
  <c r="AL312" i="1"/>
  <c r="AK312" i="1"/>
  <c r="AJ312" i="1"/>
  <c r="AI312" i="1"/>
  <c r="AG312" i="1"/>
  <c r="AE312" i="1"/>
  <c r="AD312" i="1"/>
  <c r="AB312" i="1"/>
  <c r="AA312" i="1"/>
  <c r="Z312" i="1"/>
  <c r="X312" i="1"/>
  <c r="W312" i="1"/>
  <c r="V312" i="1"/>
  <c r="S312" i="1"/>
  <c r="R312" i="1"/>
  <c r="Q312" i="1"/>
  <c r="O312" i="1"/>
  <c r="M312" i="1"/>
  <c r="L312" i="1"/>
  <c r="K312" i="1"/>
  <c r="J312" i="1"/>
  <c r="I312" i="1"/>
  <c r="H312" i="1"/>
  <c r="G312" i="1"/>
  <c r="F312" i="1"/>
  <c r="E312" i="1"/>
  <c r="D312" i="1"/>
  <c r="AO311" i="1"/>
  <c r="AN311" i="1"/>
  <c r="AM311" i="1"/>
  <c r="AL311" i="1"/>
  <c r="AK311" i="1"/>
  <c r="AJ311" i="1"/>
  <c r="AI311" i="1"/>
  <c r="AG311" i="1"/>
  <c r="AE311" i="1"/>
  <c r="AD311" i="1"/>
  <c r="AB311" i="1"/>
  <c r="AA311" i="1"/>
  <c r="Z311" i="1"/>
  <c r="X311" i="1"/>
  <c r="W311" i="1"/>
  <c r="V311" i="1"/>
  <c r="S311" i="1"/>
  <c r="R311" i="1"/>
  <c r="Q311" i="1"/>
  <c r="O311" i="1"/>
  <c r="M311" i="1"/>
  <c r="L311" i="1"/>
  <c r="K311" i="1"/>
  <c r="J311" i="1"/>
  <c r="I311" i="1"/>
  <c r="H311" i="1"/>
  <c r="G311" i="1"/>
  <c r="F311" i="1"/>
  <c r="E311" i="1"/>
  <c r="D311" i="1"/>
  <c r="AO310" i="1"/>
  <c r="AN310" i="1"/>
  <c r="AM310" i="1"/>
  <c r="AL310" i="1"/>
  <c r="AK310" i="1"/>
  <c r="AJ310" i="1"/>
  <c r="AI310" i="1"/>
  <c r="AG310" i="1"/>
  <c r="AE310" i="1"/>
  <c r="AD310" i="1"/>
  <c r="AB310" i="1"/>
  <c r="AA310" i="1"/>
  <c r="Z310" i="1"/>
  <c r="X310" i="1"/>
  <c r="W310" i="1"/>
  <c r="V310" i="1"/>
  <c r="S310" i="1"/>
  <c r="R310" i="1"/>
  <c r="Q310" i="1"/>
  <c r="O310" i="1"/>
  <c r="M310" i="1"/>
  <c r="L310" i="1"/>
  <c r="K310" i="1"/>
  <c r="J310" i="1"/>
  <c r="I310" i="1"/>
  <c r="H310" i="1"/>
  <c r="G310" i="1"/>
  <c r="F310" i="1"/>
  <c r="E310" i="1"/>
  <c r="D310" i="1"/>
  <c r="AO309" i="1"/>
  <c r="AN309" i="1"/>
  <c r="AM309" i="1"/>
  <c r="AL309" i="1"/>
  <c r="AK309" i="1"/>
  <c r="AJ309" i="1"/>
  <c r="AI309" i="1"/>
  <c r="AG309" i="1"/>
  <c r="AE309" i="1"/>
  <c r="AD309" i="1"/>
  <c r="AB309" i="1"/>
  <c r="AA309" i="1"/>
  <c r="Z309" i="1"/>
  <c r="X309" i="1"/>
  <c r="W309" i="1"/>
  <c r="V309" i="1"/>
  <c r="S309" i="1"/>
  <c r="R309" i="1"/>
  <c r="Q309" i="1"/>
  <c r="O309" i="1"/>
  <c r="M309" i="1"/>
  <c r="L309" i="1"/>
  <c r="K309" i="1"/>
  <c r="J309" i="1"/>
  <c r="I309" i="1"/>
  <c r="H309" i="1"/>
  <c r="G309" i="1"/>
  <c r="F309" i="1"/>
  <c r="E309" i="1"/>
  <c r="D309" i="1"/>
  <c r="AO308" i="1"/>
  <c r="AN308" i="1"/>
  <c r="AM308" i="1"/>
  <c r="AL308" i="1"/>
  <c r="AK308" i="1"/>
  <c r="AJ308" i="1"/>
  <c r="AI308" i="1"/>
  <c r="AG308" i="1"/>
  <c r="AE308" i="1"/>
  <c r="AD308" i="1"/>
  <c r="AB308" i="1"/>
  <c r="AA308" i="1"/>
  <c r="Z308" i="1"/>
  <c r="X308" i="1"/>
  <c r="W308" i="1"/>
  <c r="V308" i="1"/>
  <c r="S308" i="1"/>
  <c r="R308" i="1"/>
  <c r="Q308" i="1"/>
  <c r="O308" i="1"/>
  <c r="M308" i="1"/>
  <c r="L308" i="1"/>
  <c r="K308" i="1"/>
  <c r="J308" i="1"/>
  <c r="I308" i="1"/>
  <c r="H308" i="1"/>
  <c r="G308" i="1"/>
  <c r="F308" i="1"/>
  <c r="E308" i="1"/>
  <c r="D308" i="1"/>
  <c r="AO307" i="1"/>
  <c r="AN307" i="1"/>
  <c r="AM307" i="1"/>
  <c r="AL307" i="1"/>
  <c r="AK307" i="1"/>
  <c r="AJ307" i="1"/>
  <c r="AI307" i="1"/>
  <c r="AG307" i="1"/>
  <c r="AE307" i="1"/>
  <c r="AD307" i="1"/>
  <c r="AB307" i="1"/>
  <c r="AA307" i="1"/>
  <c r="Z307" i="1"/>
  <c r="X307" i="1"/>
  <c r="W307" i="1"/>
  <c r="V307" i="1"/>
  <c r="S307" i="1"/>
  <c r="R307" i="1"/>
  <c r="Q307" i="1"/>
  <c r="O307" i="1"/>
  <c r="M307" i="1"/>
  <c r="L307" i="1"/>
  <c r="K307" i="1"/>
  <c r="J307" i="1"/>
  <c r="I307" i="1"/>
  <c r="H307" i="1"/>
  <c r="G307" i="1"/>
  <c r="F307" i="1"/>
  <c r="E307" i="1"/>
  <c r="D307" i="1"/>
  <c r="AO306" i="1"/>
  <c r="AN306" i="1"/>
  <c r="AM306" i="1"/>
  <c r="AL306" i="1"/>
  <c r="AK306" i="1"/>
  <c r="AJ306" i="1"/>
  <c r="AI306" i="1"/>
  <c r="AG306" i="1"/>
  <c r="AE306" i="1"/>
  <c r="AD306" i="1"/>
  <c r="AB306" i="1"/>
  <c r="AA306" i="1"/>
  <c r="Z306" i="1"/>
  <c r="X306" i="1"/>
  <c r="W306" i="1"/>
  <c r="V306" i="1"/>
  <c r="S306" i="1"/>
  <c r="R306" i="1"/>
  <c r="Q306" i="1"/>
  <c r="O306" i="1"/>
  <c r="M306" i="1"/>
  <c r="L306" i="1"/>
  <c r="K306" i="1"/>
  <c r="J306" i="1"/>
  <c r="I306" i="1"/>
  <c r="H306" i="1"/>
  <c r="G306" i="1"/>
  <c r="F306" i="1"/>
  <c r="E306" i="1"/>
  <c r="D306" i="1"/>
  <c r="AO305" i="1"/>
  <c r="AN305" i="1"/>
  <c r="AM305" i="1"/>
  <c r="AL305" i="1"/>
  <c r="AK305" i="1"/>
  <c r="AJ305" i="1"/>
  <c r="AI305" i="1"/>
  <c r="AG305" i="1"/>
  <c r="AE305" i="1"/>
  <c r="AD305" i="1"/>
  <c r="AB305" i="1"/>
  <c r="AA305" i="1"/>
  <c r="Z305" i="1"/>
  <c r="X305" i="1"/>
  <c r="W305" i="1"/>
  <c r="V305" i="1"/>
  <c r="S305" i="1"/>
  <c r="R305" i="1"/>
  <c r="Q305" i="1"/>
  <c r="O305" i="1"/>
  <c r="M305" i="1"/>
  <c r="L305" i="1"/>
  <c r="K305" i="1"/>
  <c r="J305" i="1"/>
  <c r="I305" i="1"/>
  <c r="H305" i="1"/>
  <c r="G305" i="1"/>
  <c r="F305" i="1"/>
  <c r="E305" i="1"/>
  <c r="D305" i="1"/>
  <c r="AO304" i="1"/>
  <c r="AN304" i="1"/>
  <c r="AM304" i="1"/>
  <c r="AL304" i="1"/>
  <c r="AK304" i="1"/>
  <c r="AJ304" i="1"/>
  <c r="AI304" i="1"/>
  <c r="AG304" i="1"/>
  <c r="AE304" i="1"/>
  <c r="AD304" i="1"/>
  <c r="AB304" i="1"/>
  <c r="AA304" i="1"/>
  <c r="Z304" i="1"/>
  <c r="X304" i="1"/>
  <c r="W304" i="1"/>
  <c r="V304" i="1"/>
  <c r="S304" i="1"/>
  <c r="R304" i="1"/>
  <c r="Q304" i="1"/>
  <c r="O304" i="1"/>
  <c r="M304" i="1"/>
  <c r="L304" i="1"/>
  <c r="K304" i="1"/>
  <c r="J304" i="1"/>
  <c r="I304" i="1"/>
  <c r="H304" i="1"/>
  <c r="G304" i="1"/>
  <c r="F304" i="1"/>
  <c r="E304" i="1"/>
  <c r="D304" i="1"/>
  <c r="AO303" i="1"/>
  <c r="AN303" i="1"/>
  <c r="AM303" i="1"/>
  <c r="AL303" i="1"/>
  <c r="AK303" i="1"/>
  <c r="AJ303" i="1"/>
  <c r="AI303" i="1"/>
  <c r="AG303" i="1"/>
  <c r="AE303" i="1"/>
  <c r="AD303" i="1"/>
  <c r="AB303" i="1"/>
  <c r="AA303" i="1"/>
  <c r="Z303" i="1"/>
  <c r="X303" i="1"/>
  <c r="W303" i="1"/>
  <c r="V303" i="1"/>
  <c r="S303" i="1"/>
  <c r="R303" i="1"/>
  <c r="Q303" i="1"/>
  <c r="O303" i="1"/>
  <c r="M303" i="1"/>
  <c r="L303" i="1"/>
  <c r="K303" i="1"/>
  <c r="J303" i="1"/>
  <c r="I303" i="1"/>
  <c r="H303" i="1"/>
  <c r="G303" i="1"/>
  <c r="F303" i="1"/>
  <c r="E303" i="1"/>
  <c r="D303" i="1"/>
  <c r="AO302" i="1"/>
  <c r="AN302" i="1"/>
  <c r="AM302" i="1"/>
  <c r="AL302" i="1"/>
  <c r="AK302" i="1"/>
  <c r="AJ302" i="1"/>
  <c r="AI302" i="1"/>
  <c r="AG302" i="1"/>
  <c r="AE302" i="1"/>
  <c r="AD302" i="1"/>
  <c r="AB302" i="1"/>
  <c r="AA302" i="1"/>
  <c r="Z302" i="1"/>
  <c r="X302" i="1"/>
  <c r="W302" i="1"/>
  <c r="V302" i="1"/>
  <c r="S302" i="1"/>
  <c r="R302" i="1"/>
  <c r="Q302" i="1"/>
  <c r="O302" i="1"/>
  <c r="M302" i="1"/>
  <c r="L302" i="1"/>
  <c r="K302" i="1"/>
  <c r="J302" i="1"/>
  <c r="I302" i="1"/>
  <c r="H302" i="1"/>
  <c r="G302" i="1"/>
  <c r="F302" i="1"/>
  <c r="E302" i="1"/>
  <c r="D302" i="1"/>
  <c r="AO301" i="1"/>
  <c r="AN301" i="1"/>
  <c r="AM301" i="1"/>
  <c r="AL301" i="1"/>
  <c r="AK301" i="1"/>
  <c r="AJ301" i="1"/>
  <c r="AI301" i="1"/>
  <c r="AG301" i="1"/>
  <c r="AE301" i="1"/>
  <c r="AD301" i="1"/>
  <c r="AB301" i="1"/>
  <c r="AA301" i="1"/>
  <c r="Z301" i="1"/>
  <c r="X301" i="1"/>
  <c r="W301" i="1"/>
  <c r="V301" i="1"/>
  <c r="S301" i="1"/>
  <c r="R301" i="1"/>
  <c r="Q301" i="1"/>
  <c r="O301" i="1"/>
  <c r="M301" i="1"/>
  <c r="L301" i="1"/>
  <c r="K301" i="1"/>
  <c r="J301" i="1"/>
  <c r="I301" i="1"/>
  <c r="H301" i="1"/>
  <c r="G301" i="1"/>
  <c r="F301" i="1"/>
  <c r="E301" i="1"/>
  <c r="D301" i="1"/>
  <c r="AO300" i="1"/>
  <c r="AN300" i="1"/>
  <c r="AM300" i="1"/>
  <c r="AL300" i="1"/>
  <c r="AK300" i="1"/>
  <c r="AJ300" i="1"/>
  <c r="AI300" i="1"/>
  <c r="AG300" i="1"/>
  <c r="AE300" i="1"/>
  <c r="AD300" i="1"/>
  <c r="AB300" i="1"/>
  <c r="AA300" i="1"/>
  <c r="Z300" i="1"/>
  <c r="X300" i="1"/>
  <c r="W300" i="1"/>
  <c r="V300" i="1"/>
  <c r="S300" i="1"/>
  <c r="R300" i="1"/>
  <c r="Q300" i="1"/>
  <c r="O300" i="1"/>
  <c r="M300" i="1"/>
  <c r="L300" i="1"/>
  <c r="K300" i="1"/>
  <c r="J300" i="1"/>
  <c r="I300" i="1"/>
  <c r="H300" i="1"/>
  <c r="G300" i="1"/>
  <c r="F300" i="1"/>
  <c r="E300" i="1"/>
  <c r="D300" i="1"/>
  <c r="AO299" i="1"/>
  <c r="AN299" i="1"/>
  <c r="AM299" i="1"/>
  <c r="AL299" i="1"/>
  <c r="AK299" i="1"/>
  <c r="AJ299" i="1"/>
  <c r="AI299" i="1"/>
  <c r="AG299" i="1"/>
  <c r="AE299" i="1"/>
  <c r="AD299" i="1"/>
  <c r="AB299" i="1"/>
  <c r="AA299" i="1"/>
  <c r="Z299" i="1"/>
  <c r="X299" i="1"/>
  <c r="W299" i="1"/>
  <c r="V299" i="1"/>
  <c r="S299" i="1"/>
  <c r="R299" i="1"/>
  <c r="Q299" i="1"/>
  <c r="O299" i="1"/>
  <c r="M299" i="1"/>
  <c r="L299" i="1"/>
  <c r="K299" i="1"/>
  <c r="J299" i="1"/>
  <c r="I299" i="1"/>
  <c r="H299" i="1"/>
  <c r="G299" i="1"/>
  <c r="F299" i="1"/>
  <c r="E299" i="1"/>
  <c r="D299" i="1"/>
  <c r="AO298" i="1"/>
  <c r="AN298" i="1"/>
  <c r="AM298" i="1"/>
  <c r="AL298" i="1"/>
  <c r="AK298" i="1"/>
  <c r="AJ298" i="1"/>
  <c r="AI298" i="1"/>
  <c r="AG298" i="1"/>
  <c r="AE298" i="1"/>
  <c r="AD298" i="1"/>
  <c r="AB298" i="1"/>
  <c r="AA298" i="1"/>
  <c r="Z298" i="1"/>
  <c r="X298" i="1"/>
  <c r="W298" i="1"/>
  <c r="V298" i="1"/>
  <c r="S298" i="1"/>
  <c r="R298" i="1"/>
  <c r="Q298" i="1"/>
  <c r="O298" i="1"/>
  <c r="M298" i="1"/>
  <c r="L298" i="1"/>
  <c r="K298" i="1"/>
  <c r="J298" i="1"/>
  <c r="I298" i="1"/>
  <c r="H298" i="1"/>
  <c r="G298" i="1"/>
  <c r="F298" i="1"/>
  <c r="E298" i="1"/>
  <c r="D298" i="1"/>
  <c r="AO297" i="1"/>
  <c r="AN297" i="1"/>
  <c r="AM297" i="1"/>
  <c r="AL297" i="1"/>
  <c r="AK297" i="1"/>
  <c r="AJ297" i="1"/>
  <c r="AI297" i="1"/>
  <c r="AG297" i="1"/>
  <c r="AE297" i="1"/>
  <c r="AD297" i="1"/>
  <c r="AB297" i="1"/>
  <c r="AA297" i="1"/>
  <c r="Z297" i="1"/>
  <c r="X297" i="1"/>
  <c r="W297" i="1"/>
  <c r="V297" i="1"/>
  <c r="S297" i="1"/>
  <c r="R297" i="1"/>
  <c r="Q297" i="1"/>
  <c r="O297" i="1"/>
  <c r="M297" i="1"/>
  <c r="L297" i="1"/>
  <c r="K297" i="1"/>
  <c r="J297" i="1"/>
  <c r="I297" i="1"/>
  <c r="H297" i="1"/>
  <c r="G297" i="1"/>
  <c r="F297" i="1"/>
  <c r="E297" i="1"/>
  <c r="D297" i="1"/>
  <c r="AO296" i="1"/>
  <c r="AN296" i="1"/>
  <c r="AM296" i="1"/>
  <c r="AL296" i="1"/>
  <c r="AK296" i="1"/>
  <c r="AJ296" i="1"/>
  <c r="AI296" i="1"/>
  <c r="AG296" i="1"/>
  <c r="AE296" i="1"/>
  <c r="AD296" i="1"/>
  <c r="AB296" i="1"/>
  <c r="AA296" i="1"/>
  <c r="Z296" i="1"/>
  <c r="X296" i="1"/>
  <c r="W296" i="1"/>
  <c r="V296" i="1"/>
  <c r="S296" i="1"/>
  <c r="R296" i="1"/>
  <c r="Q296" i="1"/>
  <c r="O296" i="1"/>
  <c r="M296" i="1"/>
  <c r="L296" i="1"/>
  <c r="K296" i="1"/>
  <c r="J296" i="1"/>
  <c r="I296" i="1"/>
  <c r="H296" i="1"/>
  <c r="G296" i="1"/>
  <c r="F296" i="1"/>
  <c r="E296" i="1"/>
  <c r="D296" i="1"/>
  <c r="AO295" i="1"/>
  <c r="AN295" i="1"/>
  <c r="AM295" i="1"/>
  <c r="AL295" i="1"/>
  <c r="AK295" i="1"/>
  <c r="AJ295" i="1"/>
  <c r="AI295" i="1"/>
  <c r="AG295" i="1"/>
  <c r="AE295" i="1"/>
  <c r="AD295" i="1"/>
  <c r="AB295" i="1"/>
  <c r="AA295" i="1"/>
  <c r="Z295" i="1"/>
  <c r="X295" i="1"/>
  <c r="W295" i="1"/>
  <c r="V295" i="1"/>
  <c r="S295" i="1"/>
  <c r="R295" i="1"/>
  <c r="Q295" i="1"/>
  <c r="O295" i="1"/>
  <c r="M295" i="1"/>
  <c r="L295" i="1"/>
  <c r="K295" i="1"/>
  <c r="J295" i="1"/>
  <c r="I295" i="1"/>
  <c r="H295" i="1"/>
  <c r="G295" i="1"/>
  <c r="F295" i="1"/>
  <c r="E295" i="1"/>
  <c r="D295" i="1"/>
  <c r="AO294" i="1"/>
  <c r="AN294" i="1"/>
  <c r="AM294" i="1"/>
  <c r="AL294" i="1"/>
  <c r="AK294" i="1"/>
  <c r="AJ294" i="1"/>
  <c r="AI294" i="1"/>
  <c r="AG294" i="1"/>
  <c r="AE294" i="1"/>
  <c r="AD294" i="1"/>
  <c r="AB294" i="1"/>
  <c r="AA294" i="1"/>
  <c r="Z294" i="1"/>
  <c r="X294" i="1"/>
  <c r="W294" i="1"/>
  <c r="V294" i="1"/>
  <c r="S294" i="1"/>
  <c r="R294" i="1"/>
  <c r="Q294" i="1"/>
  <c r="O294" i="1"/>
  <c r="M294" i="1"/>
  <c r="L294" i="1"/>
  <c r="K294" i="1"/>
  <c r="J294" i="1"/>
  <c r="I294" i="1"/>
  <c r="H294" i="1"/>
  <c r="G294" i="1"/>
  <c r="F294" i="1"/>
  <c r="E294" i="1"/>
  <c r="D294" i="1"/>
  <c r="AO293" i="1"/>
  <c r="AN293" i="1"/>
  <c r="AM293" i="1"/>
  <c r="AL293" i="1"/>
  <c r="AK293" i="1"/>
  <c r="AJ293" i="1"/>
  <c r="AI293" i="1"/>
  <c r="AG293" i="1"/>
  <c r="AE293" i="1"/>
  <c r="AD293" i="1"/>
  <c r="AB293" i="1"/>
  <c r="AA293" i="1"/>
  <c r="Z293" i="1"/>
  <c r="X293" i="1"/>
  <c r="W293" i="1"/>
  <c r="V293" i="1"/>
  <c r="S293" i="1"/>
  <c r="R293" i="1"/>
  <c r="Q293" i="1"/>
  <c r="O293" i="1"/>
  <c r="M293" i="1"/>
  <c r="L293" i="1"/>
  <c r="K293" i="1"/>
  <c r="J293" i="1"/>
  <c r="I293" i="1"/>
  <c r="H293" i="1"/>
  <c r="G293" i="1"/>
  <c r="F293" i="1"/>
  <c r="E293" i="1"/>
  <c r="D293" i="1"/>
  <c r="AO292" i="1"/>
  <c r="AN292" i="1"/>
  <c r="AM292" i="1"/>
  <c r="AL292" i="1"/>
  <c r="AK292" i="1"/>
  <c r="AJ292" i="1"/>
  <c r="AI292" i="1"/>
  <c r="AG292" i="1"/>
  <c r="AE292" i="1"/>
  <c r="AD292" i="1"/>
  <c r="AB292" i="1"/>
  <c r="AA292" i="1"/>
  <c r="Z292" i="1"/>
  <c r="X292" i="1"/>
  <c r="W292" i="1"/>
  <c r="V292" i="1"/>
  <c r="S292" i="1"/>
  <c r="R292" i="1"/>
  <c r="Q292" i="1"/>
  <c r="O292" i="1"/>
  <c r="M292" i="1"/>
  <c r="L292" i="1"/>
  <c r="K292" i="1"/>
  <c r="J292" i="1"/>
  <c r="I292" i="1"/>
  <c r="H292" i="1"/>
  <c r="G292" i="1"/>
  <c r="F292" i="1"/>
  <c r="E292" i="1"/>
  <c r="D292" i="1"/>
  <c r="AO291" i="1"/>
  <c r="AN291" i="1"/>
  <c r="AM291" i="1"/>
  <c r="AL291" i="1"/>
  <c r="AK291" i="1"/>
  <c r="AJ291" i="1"/>
  <c r="AI291" i="1"/>
  <c r="AG291" i="1"/>
  <c r="AE291" i="1"/>
  <c r="AD291" i="1"/>
  <c r="AB291" i="1"/>
  <c r="AA291" i="1"/>
  <c r="Z291" i="1"/>
  <c r="X291" i="1"/>
  <c r="W291" i="1"/>
  <c r="V291" i="1"/>
  <c r="S291" i="1"/>
  <c r="R291" i="1"/>
  <c r="Q291" i="1"/>
  <c r="O291" i="1"/>
  <c r="M291" i="1"/>
  <c r="L291" i="1"/>
  <c r="K291" i="1"/>
  <c r="J291" i="1"/>
  <c r="I291" i="1"/>
  <c r="H291" i="1"/>
  <c r="G291" i="1"/>
  <c r="F291" i="1"/>
  <c r="E291" i="1"/>
  <c r="D291" i="1"/>
  <c r="AO290" i="1"/>
  <c r="AN290" i="1"/>
  <c r="AM290" i="1"/>
  <c r="AL290" i="1"/>
  <c r="AK290" i="1"/>
  <c r="AJ290" i="1"/>
  <c r="AI290" i="1"/>
  <c r="AG290" i="1"/>
  <c r="AE290" i="1"/>
  <c r="AD290" i="1"/>
  <c r="AB290" i="1"/>
  <c r="AA290" i="1"/>
  <c r="Z290" i="1"/>
  <c r="X290" i="1"/>
  <c r="W290" i="1"/>
  <c r="V290" i="1"/>
  <c r="S290" i="1"/>
  <c r="R290" i="1"/>
  <c r="Q290" i="1"/>
  <c r="O290" i="1"/>
  <c r="M290" i="1"/>
  <c r="L290" i="1"/>
  <c r="K290" i="1"/>
  <c r="J290" i="1"/>
  <c r="I290" i="1"/>
  <c r="H290" i="1"/>
  <c r="G290" i="1"/>
  <c r="F290" i="1"/>
  <c r="E290" i="1"/>
  <c r="D290" i="1"/>
  <c r="AO289" i="1"/>
  <c r="AN289" i="1"/>
  <c r="AM289" i="1"/>
  <c r="AL289" i="1"/>
  <c r="AK289" i="1"/>
  <c r="AJ289" i="1"/>
  <c r="AI289" i="1"/>
  <c r="AG289" i="1"/>
  <c r="AE289" i="1"/>
  <c r="AD289" i="1"/>
  <c r="AB289" i="1"/>
  <c r="AA289" i="1"/>
  <c r="Z289" i="1"/>
  <c r="X289" i="1"/>
  <c r="W289" i="1"/>
  <c r="V289" i="1"/>
  <c r="S289" i="1"/>
  <c r="R289" i="1"/>
  <c r="Q289" i="1"/>
  <c r="O289" i="1"/>
  <c r="M289" i="1"/>
  <c r="L289" i="1"/>
  <c r="K289" i="1"/>
  <c r="J289" i="1"/>
  <c r="I289" i="1"/>
  <c r="H289" i="1"/>
  <c r="G289" i="1"/>
  <c r="F289" i="1"/>
  <c r="E289" i="1"/>
  <c r="D289" i="1"/>
  <c r="AO288" i="1"/>
  <c r="AN288" i="1"/>
  <c r="AM288" i="1"/>
  <c r="AL288" i="1"/>
  <c r="AK288" i="1"/>
  <c r="AJ288" i="1"/>
  <c r="AI288" i="1"/>
  <c r="AG288" i="1"/>
  <c r="AE288" i="1"/>
  <c r="AD288" i="1"/>
  <c r="AB288" i="1"/>
  <c r="AA288" i="1"/>
  <c r="Z288" i="1"/>
  <c r="X288" i="1"/>
  <c r="W288" i="1"/>
  <c r="V288" i="1"/>
  <c r="S288" i="1"/>
  <c r="R288" i="1"/>
  <c r="Q288" i="1"/>
  <c r="O288" i="1"/>
  <c r="M288" i="1"/>
  <c r="L288" i="1"/>
  <c r="K288" i="1"/>
  <c r="J288" i="1"/>
  <c r="I288" i="1"/>
  <c r="H288" i="1"/>
  <c r="G288" i="1"/>
  <c r="F288" i="1"/>
  <c r="E288" i="1"/>
  <c r="D288" i="1"/>
  <c r="AO287" i="1"/>
  <c r="AN287" i="1"/>
  <c r="AM287" i="1"/>
  <c r="AL287" i="1"/>
  <c r="AK287" i="1"/>
  <c r="AJ287" i="1"/>
  <c r="AI287" i="1"/>
  <c r="AG287" i="1"/>
  <c r="AE287" i="1"/>
  <c r="AD287" i="1"/>
  <c r="AB287" i="1"/>
  <c r="AA287" i="1"/>
  <c r="Z287" i="1"/>
  <c r="X287" i="1"/>
  <c r="W287" i="1"/>
  <c r="V287" i="1"/>
  <c r="S287" i="1"/>
  <c r="R287" i="1"/>
  <c r="Q287" i="1"/>
  <c r="O287" i="1"/>
  <c r="M287" i="1"/>
  <c r="L287" i="1"/>
  <c r="K287" i="1"/>
  <c r="J287" i="1"/>
  <c r="I287" i="1"/>
  <c r="H287" i="1"/>
  <c r="G287" i="1"/>
  <c r="F287" i="1"/>
  <c r="E287" i="1"/>
  <c r="D287" i="1"/>
  <c r="AO286" i="1"/>
  <c r="AN286" i="1"/>
  <c r="AM286" i="1"/>
  <c r="AL286" i="1"/>
  <c r="AK286" i="1"/>
  <c r="AJ286" i="1"/>
  <c r="AI286" i="1"/>
  <c r="AG286" i="1"/>
  <c r="AE286" i="1"/>
  <c r="AD286" i="1"/>
  <c r="AB286" i="1"/>
  <c r="AA286" i="1"/>
  <c r="Z286" i="1"/>
  <c r="X286" i="1"/>
  <c r="W286" i="1"/>
  <c r="V286" i="1"/>
  <c r="S286" i="1"/>
  <c r="R286" i="1"/>
  <c r="Q286" i="1"/>
  <c r="O286" i="1"/>
  <c r="M286" i="1"/>
  <c r="L286" i="1"/>
  <c r="K286" i="1"/>
  <c r="J286" i="1"/>
  <c r="I286" i="1"/>
  <c r="H286" i="1"/>
  <c r="G286" i="1"/>
  <c r="F286" i="1"/>
  <c r="E286" i="1"/>
  <c r="D286" i="1"/>
  <c r="AO285" i="1"/>
  <c r="AN285" i="1"/>
  <c r="AM285" i="1"/>
  <c r="AL285" i="1"/>
  <c r="AK285" i="1"/>
  <c r="AJ285" i="1"/>
  <c r="AI285" i="1"/>
  <c r="AG285" i="1"/>
  <c r="AE285" i="1"/>
  <c r="AD285" i="1"/>
  <c r="AB285" i="1"/>
  <c r="AA285" i="1"/>
  <c r="Z285" i="1"/>
  <c r="X285" i="1"/>
  <c r="W285" i="1"/>
  <c r="V285" i="1"/>
  <c r="S285" i="1"/>
  <c r="R285" i="1"/>
  <c r="Q285" i="1"/>
  <c r="O285" i="1"/>
  <c r="M285" i="1"/>
  <c r="L285" i="1"/>
  <c r="K285" i="1"/>
  <c r="J285" i="1"/>
  <c r="I285" i="1"/>
  <c r="H285" i="1"/>
  <c r="G285" i="1"/>
  <c r="F285" i="1"/>
  <c r="E285" i="1"/>
  <c r="D285" i="1"/>
  <c r="AO284" i="1"/>
  <c r="AN284" i="1"/>
  <c r="AM284" i="1"/>
  <c r="AL284" i="1"/>
  <c r="AK284" i="1"/>
  <c r="AJ284" i="1"/>
  <c r="AI284" i="1"/>
  <c r="AG284" i="1"/>
  <c r="AE284" i="1"/>
  <c r="AD284" i="1"/>
  <c r="AB284" i="1"/>
  <c r="AA284" i="1"/>
  <c r="Z284" i="1"/>
  <c r="X284" i="1"/>
  <c r="W284" i="1"/>
  <c r="V284" i="1"/>
  <c r="S284" i="1"/>
  <c r="R284" i="1"/>
  <c r="Q284" i="1"/>
  <c r="O284" i="1"/>
  <c r="M284" i="1"/>
  <c r="L284" i="1"/>
  <c r="K284" i="1"/>
  <c r="J284" i="1"/>
  <c r="I284" i="1"/>
  <c r="H284" i="1"/>
  <c r="G284" i="1"/>
  <c r="F284" i="1"/>
  <c r="E284" i="1"/>
  <c r="D284" i="1"/>
  <c r="AO283" i="1"/>
  <c r="AN283" i="1"/>
  <c r="AM283" i="1"/>
  <c r="AL283" i="1"/>
  <c r="AK283" i="1"/>
  <c r="AJ283" i="1"/>
  <c r="AI283" i="1"/>
  <c r="AG283" i="1"/>
  <c r="AE283" i="1"/>
  <c r="AD283" i="1"/>
  <c r="AB283" i="1"/>
  <c r="AA283" i="1"/>
  <c r="Z283" i="1"/>
  <c r="X283" i="1"/>
  <c r="W283" i="1"/>
  <c r="V283" i="1"/>
  <c r="S283" i="1"/>
  <c r="R283" i="1"/>
  <c r="Q283" i="1"/>
  <c r="O283" i="1"/>
  <c r="M283" i="1"/>
  <c r="L283" i="1"/>
  <c r="K283" i="1"/>
  <c r="J283" i="1"/>
  <c r="I283" i="1"/>
  <c r="H283" i="1"/>
  <c r="G283" i="1"/>
  <c r="F283" i="1"/>
  <c r="E283" i="1"/>
  <c r="D283" i="1"/>
  <c r="AO282" i="1"/>
  <c r="AN282" i="1"/>
  <c r="AM282" i="1"/>
  <c r="AL282" i="1"/>
  <c r="AK282" i="1"/>
  <c r="AJ282" i="1"/>
  <c r="AI282" i="1"/>
  <c r="AG282" i="1"/>
  <c r="AE282" i="1"/>
  <c r="AD282" i="1"/>
  <c r="AB282" i="1"/>
  <c r="AA282" i="1"/>
  <c r="Z282" i="1"/>
  <c r="X282" i="1"/>
  <c r="W282" i="1"/>
  <c r="V282" i="1"/>
  <c r="S282" i="1"/>
  <c r="R282" i="1"/>
  <c r="Q282" i="1"/>
  <c r="O282" i="1"/>
  <c r="M282" i="1"/>
  <c r="L282" i="1"/>
  <c r="K282" i="1"/>
  <c r="J282" i="1"/>
  <c r="I282" i="1"/>
  <c r="H282" i="1"/>
  <c r="G282" i="1"/>
  <c r="F282" i="1"/>
  <c r="E282" i="1"/>
  <c r="D282" i="1"/>
  <c r="AO281" i="1"/>
  <c r="AN281" i="1"/>
  <c r="AM281" i="1"/>
  <c r="AL281" i="1"/>
  <c r="AK281" i="1"/>
  <c r="AJ281" i="1"/>
  <c r="AI281" i="1"/>
  <c r="AG281" i="1"/>
  <c r="AE281" i="1"/>
  <c r="AD281" i="1"/>
  <c r="AB281" i="1"/>
  <c r="AA281" i="1"/>
  <c r="Z281" i="1"/>
  <c r="X281" i="1"/>
  <c r="W281" i="1"/>
  <c r="V281" i="1"/>
  <c r="S281" i="1"/>
  <c r="R281" i="1"/>
  <c r="Q281" i="1"/>
  <c r="O281" i="1"/>
  <c r="M281" i="1"/>
  <c r="L281" i="1"/>
  <c r="K281" i="1"/>
  <c r="J281" i="1"/>
  <c r="I281" i="1"/>
  <c r="H281" i="1"/>
  <c r="G281" i="1"/>
  <c r="F281" i="1"/>
  <c r="E281" i="1"/>
  <c r="D281" i="1"/>
  <c r="AO280" i="1"/>
  <c r="AN280" i="1"/>
  <c r="AM280" i="1"/>
  <c r="AL280" i="1"/>
  <c r="AK280" i="1"/>
  <c r="AJ280" i="1"/>
  <c r="AI280" i="1"/>
  <c r="AG280" i="1"/>
  <c r="AE280" i="1"/>
  <c r="AD280" i="1"/>
  <c r="AB280" i="1"/>
  <c r="AA280" i="1"/>
  <c r="Z280" i="1"/>
  <c r="X280" i="1"/>
  <c r="W280" i="1"/>
  <c r="V280" i="1"/>
  <c r="S280" i="1"/>
  <c r="R280" i="1"/>
  <c r="Q280" i="1"/>
  <c r="O280" i="1"/>
  <c r="M280" i="1"/>
  <c r="L280" i="1"/>
  <c r="K280" i="1"/>
  <c r="J280" i="1"/>
  <c r="I280" i="1"/>
  <c r="H280" i="1"/>
  <c r="G280" i="1"/>
  <c r="F280" i="1"/>
  <c r="E280" i="1"/>
  <c r="D280" i="1"/>
  <c r="AO279" i="1"/>
  <c r="AN279" i="1"/>
  <c r="AM279" i="1"/>
  <c r="AL279" i="1"/>
  <c r="AK279" i="1"/>
  <c r="AJ279" i="1"/>
  <c r="AI279" i="1"/>
  <c r="AG279" i="1"/>
  <c r="AE279" i="1"/>
  <c r="AD279" i="1"/>
  <c r="AB279" i="1"/>
  <c r="AA279" i="1"/>
  <c r="Z279" i="1"/>
  <c r="X279" i="1"/>
  <c r="W279" i="1"/>
  <c r="V279" i="1"/>
  <c r="S279" i="1"/>
  <c r="R279" i="1"/>
  <c r="Q279" i="1"/>
  <c r="O279" i="1"/>
  <c r="M279" i="1"/>
  <c r="L279" i="1"/>
  <c r="K279" i="1"/>
  <c r="J279" i="1"/>
  <c r="I279" i="1"/>
  <c r="H279" i="1"/>
  <c r="G279" i="1"/>
  <c r="F279" i="1"/>
  <c r="E279" i="1"/>
  <c r="D279" i="1"/>
  <c r="AO278" i="1"/>
  <c r="AN278" i="1"/>
  <c r="AM278" i="1"/>
  <c r="AL278" i="1"/>
  <c r="AK278" i="1"/>
  <c r="AJ278" i="1"/>
  <c r="AI278" i="1"/>
  <c r="AG278" i="1"/>
  <c r="AE278" i="1"/>
  <c r="AD278" i="1"/>
  <c r="AB278" i="1"/>
  <c r="AA278" i="1"/>
  <c r="Z278" i="1"/>
  <c r="X278" i="1"/>
  <c r="W278" i="1"/>
  <c r="V278" i="1"/>
  <c r="S278" i="1"/>
  <c r="R278" i="1"/>
  <c r="Q278" i="1"/>
  <c r="O278" i="1"/>
  <c r="M278" i="1"/>
  <c r="L278" i="1"/>
  <c r="K278" i="1"/>
  <c r="J278" i="1"/>
  <c r="I278" i="1"/>
  <c r="H278" i="1"/>
  <c r="G278" i="1"/>
  <c r="F278" i="1"/>
  <c r="E278" i="1"/>
  <c r="D278" i="1"/>
  <c r="AO277" i="1"/>
  <c r="AN277" i="1"/>
  <c r="AM277" i="1"/>
  <c r="AL277" i="1"/>
  <c r="AK277" i="1"/>
  <c r="AJ277" i="1"/>
  <c r="AI277" i="1"/>
  <c r="AG277" i="1"/>
  <c r="AE277" i="1"/>
  <c r="AD277" i="1"/>
  <c r="AB277" i="1"/>
  <c r="AA277" i="1"/>
  <c r="Z277" i="1"/>
  <c r="X277" i="1"/>
  <c r="W277" i="1"/>
  <c r="V277" i="1"/>
  <c r="S277" i="1"/>
  <c r="R277" i="1"/>
  <c r="Q277" i="1"/>
  <c r="O277" i="1"/>
  <c r="M277" i="1"/>
  <c r="L277" i="1"/>
  <c r="K277" i="1"/>
  <c r="J277" i="1"/>
  <c r="I277" i="1"/>
  <c r="H277" i="1"/>
  <c r="G277" i="1"/>
  <c r="F277" i="1"/>
  <c r="E277" i="1"/>
  <c r="D277" i="1"/>
  <c r="AO276" i="1"/>
  <c r="AN276" i="1"/>
  <c r="AM276" i="1"/>
  <c r="AL276" i="1"/>
  <c r="AK276" i="1"/>
  <c r="AJ276" i="1"/>
  <c r="AI276" i="1"/>
  <c r="AG276" i="1"/>
  <c r="AE276" i="1"/>
  <c r="AD276" i="1"/>
  <c r="AB276" i="1"/>
  <c r="AA276" i="1"/>
  <c r="Z276" i="1"/>
  <c r="X276" i="1"/>
  <c r="W276" i="1"/>
  <c r="V276" i="1"/>
  <c r="S276" i="1"/>
  <c r="R276" i="1"/>
  <c r="Q276" i="1"/>
  <c r="O276" i="1"/>
  <c r="M276" i="1"/>
  <c r="L276" i="1"/>
  <c r="K276" i="1"/>
  <c r="J276" i="1"/>
  <c r="I276" i="1"/>
  <c r="H276" i="1"/>
  <c r="G276" i="1"/>
  <c r="F276" i="1"/>
  <c r="E276" i="1"/>
  <c r="D276" i="1"/>
  <c r="AO275" i="1"/>
  <c r="AN275" i="1"/>
  <c r="AM275" i="1"/>
  <c r="AL275" i="1"/>
  <c r="AK275" i="1"/>
  <c r="AJ275" i="1"/>
  <c r="AI275" i="1"/>
  <c r="AG275" i="1"/>
  <c r="AE275" i="1"/>
  <c r="AD275" i="1"/>
  <c r="AB275" i="1"/>
  <c r="AA275" i="1"/>
  <c r="Z275" i="1"/>
  <c r="X275" i="1"/>
  <c r="W275" i="1"/>
  <c r="V275" i="1"/>
  <c r="S275" i="1"/>
  <c r="R275" i="1"/>
  <c r="Q275" i="1"/>
  <c r="O275" i="1"/>
  <c r="M275" i="1"/>
  <c r="L275" i="1"/>
  <c r="K275" i="1"/>
  <c r="J275" i="1"/>
  <c r="I275" i="1"/>
  <c r="H275" i="1"/>
  <c r="G275" i="1"/>
  <c r="F275" i="1"/>
  <c r="E275" i="1"/>
  <c r="D275" i="1"/>
  <c r="AO274" i="1"/>
  <c r="AN274" i="1"/>
  <c r="AM274" i="1"/>
  <c r="AL274" i="1"/>
  <c r="AK274" i="1"/>
  <c r="AJ274" i="1"/>
  <c r="AI274" i="1"/>
  <c r="AG274" i="1"/>
  <c r="AE274" i="1"/>
  <c r="AD274" i="1"/>
  <c r="AB274" i="1"/>
  <c r="AA274" i="1"/>
  <c r="Z274" i="1"/>
  <c r="X274" i="1"/>
  <c r="W274" i="1"/>
  <c r="V274" i="1"/>
  <c r="S274" i="1"/>
  <c r="R274" i="1"/>
  <c r="Q274" i="1"/>
  <c r="O274" i="1"/>
  <c r="M274" i="1"/>
  <c r="L274" i="1"/>
  <c r="K274" i="1"/>
  <c r="J274" i="1"/>
  <c r="I274" i="1"/>
  <c r="H274" i="1"/>
  <c r="G274" i="1"/>
  <c r="F274" i="1"/>
  <c r="E274" i="1"/>
  <c r="D274" i="1"/>
  <c r="AO273" i="1"/>
  <c r="AN273" i="1"/>
  <c r="AM273" i="1"/>
  <c r="AL273" i="1"/>
  <c r="AK273" i="1"/>
  <c r="AJ273" i="1"/>
  <c r="AI273" i="1"/>
  <c r="AG273" i="1"/>
  <c r="AE273" i="1"/>
  <c r="AD273" i="1"/>
  <c r="AB273" i="1"/>
  <c r="AA273" i="1"/>
  <c r="Z273" i="1"/>
  <c r="X273" i="1"/>
  <c r="W273" i="1"/>
  <c r="V273" i="1"/>
  <c r="S273" i="1"/>
  <c r="R273" i="1"/>
  <c r="Q273" i="1"/>
  <c r="O273" i="1"/>
  <c r="M273" i="1"/>
  <c r="L273" i="1"/>
  <c r="K273" i="1"/>
  <c r="J273" i="1"/>
  <c r="I273" i="1"/>
  <c r="H273" i="1"/>
  <c r="G273" i="1"/>
  <c r="F273" i="1"/>
  <c r="E273" i="1"/>
  <c r="D273" i="1"/>
  <c r="AO272" i="1"/>
  <c r="AN272" i="1"/>
  <c r="AM272" i="1"/>
  <c r="AL272" i="1"/>
  <c r="AK272" i="1"/>
  <c r="AJ272" i="1"/>
  <c r="AI272" i="1"/>
  <c r="AG272" i="1"/>
  <c r="AE272" i="1"/>
  <c r="AD272" i="1"/>
  <c r="AB272" i="1"/>
  <c r="AA272" i="1"/>
  <c r="Z272" i="1"/>
  <c r="X272" i="1"/>
  <c r="W272" i="1"/>
  <c r="V272" i="1"/>
  <c r="S272" i="1"/>
  <c r="R272" i="1"/>
  <c r="Q272" i="1"/>
  <c r="O272" i="1"/>
  <c r="M272" i="1"/>
  <c r="L272" i="1"/>
  <c r="K272" i="1"/>
  <c r="J272" i="1"/>
  <c r="I272" i="1"/>
  <c r="H272" i="1"/>
  <c r="G272" i="1"/>
  <c r="F272" i="1"/>
  <c r="E272" i="1"/>
  <c r="D272" i="1"/>
  <c r="AO271" i="1"/>
  <c r="AN271" i="1"/>
  <c r="AM271" i="1"/>
  <c r="AL271" i="1"/>
  <c r="AK271" i="1"/>
  <c r="AJ271" i="1"/>
  <c r="AI271" i="1"/>
  <c r="AG271" i="1"/>
  <c r="AE271" i="1"/>
  <c r="AD271" i="1"/>
  <c r="AB271" i="1"/>
  <c r="AA271" i="1"/>
  <c r="Z271" i="1"/>
  <c r="X271" i="1"/>
  <c r="W271" i="1"/>
  <c r="V271" i="1"/>
  <c r="S271" i="1"/>
  <c r="R271" i="1"/>
  <c r="Q271" i="1"/>
  <c r="O271" i="1"/>
  <c r="M271" i="1"/>
  <c r="L271" i="1"/>
  <c r="K271" i="1"/>
  <c r="J271" i="1"/>
  <c r="I271" i="1"/>
  <c r="H271" i="1"/>
  <c r="G271" i="1"/>
  <c r="F271" i="1"/>
  <c r="E271" i="1"/>
  <c r="D271" i="1"/>
  <c r="AO270" i="1"/>
  <c r="AN270" i="1"/>
  <c r="AM270" i="1"/>
  <c r="AL270" i="1"/>
  <c r="AK270" i="1"/>
  <c r="AJ270" i="1"/>
  <c r="AI270" i="1"/>
  <c r="AG270" i="1"/>
  <c r="AE270" i="1"/>
  <c r="AD270" i="1"/>
  <c r="AB270" i="1"/>
  <c r="AA270" i="1"/>
  <c r="Z270" i="1"/>
  <c r="X270" i="1"/>
  <c r="W270" i="1"/>
  <c r="V270" i="1"/>
  <c r="S270" i="1"/>
  <c r="R270" i="1"/>
  <c r="Q270" i="1"/>
  <c r="O270" i="1"/>
  <c r="M270" i="1"/>
  <c r="L270" i="1"/>
  <c r="K270" i="1"/>
  <c r="J270" i="1"/>
  <c r="I270" i="1"/>
  <c r="H270" i="1"/>
  <c r="G270" i="1"/>
  <c r="F270" i="1"/>
  <c r="E270" i="1"/>
  <c r="D270" i="1"/>
  <c r="AO269" i="1"/>
  <c r="AN269" i="1"/>
  <c r="AM269" i="1"/>
  <c r="AL269" i="1"/>
  <c r="AK269" i="1"/>
  <c r="AJ269" i="1"/>
  <c r="AI269" i="1"/>
  <c r="AG269" i="1"/>
  <c r="AE269" i="1"/>
  <c r="AD269" i="1"/>
  <c r="AB269" i="1"/>
  <c r="AA269" i="1"/>
  <c r="Z269" i="1"/>
  <c r="X269" i="1"/>
  <c r="W269" i="1"/>
  <c r="V269" i="1"/>
  <c r="S269" i="1"/>
  <c r="R269" i="1"/>
  <c r="Q269" i="1"/>
  <c r="O269" i="1"/>
  <c r="M269" i="1"/>
  <c r="L269" i="1"/>
  <c r="K269" i="1"/>
  <c r="J269" i="1"/>
  <c r="I269" i="1"/>
  <c r="H269" i="1"/>
  <c r="G269" i="1"/>
  <c r="F269" i="1"/>
  <c r="E269" i="1"/>
  <c r="D269" i="1"/>
  <c r="AO268" i="1"/>
  <c r="AN268" i="1"/>
  <c r="AM268" i="1"/>
  <c r="AL268" i="1"/>
  <c r="AK268" i="1"/>
  <c r="AJ268" i="1"/>
  <c r="AI268" i="1"/>
  <c r="AG268" i="1"/>
  <c r="AE268" i="1"/>
  <c r="AD268" i="1"/>
  <c r="AB268" i="1"/>
  <c r="AA268" i="1"/>
  <c r="Z268" i="1"/>
  <c r="X268" i="1"/>
  <c r="W268" i="1"/>
  <c r="V268" i="1"/>
  <c r="S268" i="1"/>
  <c r="R268" i="1"/>
  <c r="Q268" i="1"/>
  <c r="O268" i="1"/>
  <c r="M268" i="1"/>
  <c r="L268" i="1"/>
  <c r="K268" i="1"/>
  <c r="J268" i="1"/>
  <c r="I268" i="1"/>
  <c r="H268" i="1"/>
  <c r="G268" i="1"/>
  <c r="F268" i="1"/>
  <c r="E268" i="1"/>
  <c r="D268" i="1"/>
  <c r="AO267" i="1"/>
  <c r="AN267" i="1"/>
  <c r="AM267" i="1"/>
  <c r="AL267" i="1"/>
  <c r="AK267" i="1"/>
  <c r="AJ267" i="1"/>
  <c r="AI267" i="1"/>
  <c r="AG267" i="1"/>
  <c r="AE267" i="1"/>
  <c r="AD267" i="1"/>
  <c r="AB267" i="1"/>
  <c r="AA267" i="1"/>
  <c r="Z267" i="1"/>
  <c r="X267" i="1"/>
  <c r="W267" i="1"/>
  <c r="V267" i="1"/>
  <c r="S267" i="1"/>
  <c r="R267" i="1"/>
  <c r="Q267" i="1"/>
  <c r="O267" i="1"/>
  <c r="M267" i="1"/>
  <c r="L267" i="1"/>
  <c r="K267" i="1"/>
  <c r="J267" i="1"/>
  <c r="I267" i="1"/>
  <c r="H267" i="1"/>
  <c r="G267" i="1"/>
  <c r="F267" i="1"/>
  <c r="E267" i="1"/>
  <c r="D267" i="1"/>
  <c r="AO266" i="1"/>
  <c r="AN266" i="1"/>
  <c r="AM266" i="1"/>
  <c r="AL266" i="1"/>
  <c r="AK266" i="1"/>
  <c r="AJ266" i="1"/>
  <c r="AI266" i="1"/>
  <c r="AG266" i="1"/>
  <c r="AE266" i="1"/>
  <c r="AD266" i="1"/>
  <c r="AB266" i="1"/>
  <c r="AA266" i="1"/>
  <c r="Z266" i="1"/>
  <c r="X266" i="1"/>
  <c r="W266" i="1"/>
  <c r="V266" i="1"/>
  <c r="S266" i="1"/>
  <c r="R266" i="1"/>
  <c r="Q266" i="1"/>
  <c r="O266" i="1"/>
  <c r="M266" i="1"/>
  <c r="L266" i="1"/>
  <c r="K266" i="1"/>
  <c r="J266" i="1"/>
  <c r="I266" i="1"/>
  <c r="H266" i="1"/>
  <c r="G266" i="1"/>
  <c r="F266" i="1"/>
  <c r="E266" i="1"/>
  <c r="D266" i="1"/>
  <c r="AO265" i="1"/>
  <c r="AN265" i="1"/>
  <c r="AM265" i="1"/>
  <c r="AL265" i="1"/>
  <c r="AK265" i="1"/>
  <c r="AJ265" i="1"/>
  <c r="AI265" i="1"/>
  <c r="AG265" i="1"/>
  <c r="AE265" i="1"/>
  <c r="AD265" i="1"/>
  <c r="AB265" i="1"/>
  <c r="AA265" i="1"/>
  <c r="Z265" i="1"/>
  <c r="X265" i="1"/>
  <c r="W265" i="1"/>
  <c r="V265" i="1"/>
  <c r="S265" i="1"/>
  <c r="R265" i="1"/>
  <c r="Q265" i="1"/>
  <c r="O265" i="1"/>
  <c r="M265" i="1"/>
  <c r="L265" i="1"/>
  <c r="K265" i="1"/>
  <c r="J265" i="1"/>
  <c r="I265" i="1"/>
  <c r="H265" i="1"/>
  <c r="G265" i="1"/>
  <c r="F265" i="1"/>
  <c r="E265" i="1"/>
  <c r="D265" i="1"/>
  <c r="AO264" i="1"/>
  <c r="AN264" i="1"/>
  <c r="AM264" i="1"/>
  <c r="AL264" i="1"/>
  <c r="AK264" i="1"/>
  <c r="AJ264" i="1"/>
  <c r="AI264" i="1"/>
  <c r="AG264" i="1"/>
  <c r="AE264" i="1"/>
  <c r="AD264" i="1"/>
  <c r="AB264" i="1"/>
  <c r="AA264" i="1"/>
  <c r="Z264" i="1"/>
  <c r="X264" i="1"/>
  <c r="W264" i="1"/>
  <c r="V264" i="1"/>
  <c r="S264" i="1"/>
  <c r="R264" i="1"/>
  <c r="Q264" i="1"/>
  <c r="O264" i="1"/>
  <c r="M264" i="1"/>
  <c r="L264" i="1"/>
  <c r="K264" i="1"/>
  <c r="J264" i="1"/>
  <c r="I264" i="1"/>
  <c r="H264" i="1"/>
  <c r="G264" i="1"/>
  <c r="F264" i="1"/>
  <c r="E264" i="1"/>
  <c r="D264" i="1"/>
  <c r="AO263" i="1"/>
  <c r="AN263" i="1"/>
  <c r="AM263" i="1"/>
  <c r="AL263" i="1"/>
  <c r="AK263" i="1"/>
  <c r="AJ263" i="1"/>
  <c r="AI263" i="1"/>
  <c r="AG263" i="1"/>
  <c r="AE263" i="1"/>
  <c r="AD263" i="1"/>
  <c r="AB263" i="1"/>
  <c r="AA263" i="1"/>
  <c r="Z263" i="1"/>
  <c r="X263" i="1"/>
  <c r="W263" i="1"/>
  <c r="V263" i="1"/>
  <c r="S263" i="1"/>
  <c r="R263" i="1"/>
  <c r="Q263" i="1"/>
  <c r="O263" i="1"/>
  <c r="M263" i="1"/>
  <c r="L263" i="1"/>
  <c r="K263" i="1"/>
  <c r="J263" i="1"/>
  <c r="I263" i="1"/>
  <c r="H263" i="1"/>
  <c r="G263" i="1"/>
  <c r="F263" i="1"/>
  <c r="E263" i="1"/>
  <c r="D263" i="1"/>
  <c r="AO262" i="1"/>
  <c r="AN262" i="1"/>
  <c r="AM262" i="1"/>
  <c r="AL262" i="1"/>
  <c r="AK262" i="1"/>
  <c r="AJ262" i="1"/>
  <c r="AI262" i="1"/>
  <c r="AG262" i="1"/>
  <c r="AE262" i="1"/>
  <c r="AD262" i="1"/>
  <c r="AB262" i="1"/>
  <c r="AA262" i="1"/>
  <c r="Z262" i="1"/>
  <c r="X262" i="1"/>
  <c r="W262" i="1"/>
  <c r="V262" i="1"/>
  <c r="S262" i="1"/>
  <c r="R262" i="1"/>
  <c r="Q262" i="1"/>
  <c r="O262" i="1"/>
  <c r="M262" i="1"/>
  <c r="L262" i="1"/>
  <c r="K262" i="1"/>
  <c r="J262" i="1"/>
  <c r="I262" i="1"/>
  <c r="H262" i="1"/>
  <c r="G262" i="1"/>
  <c r="F262" i="1"/>
  <c r="E262" i="1"/>
  <c r="D262" i="1"/>
  <c r="AO261" i="1"/>
  <c r="AN261" i="1"/>
  <c r="AM261" i="1"/>
  <c r="AL261" i="1"/>
  <c r="AK261" i="1"/>
  <c r="AJ261" i="1"/>
  <c r="AI261" i="1"/>
  <c r="AG261" i="1"/>
  <c r="AE261" i="1"/>
  <c r="AD261" i="1"/>
  <c r="AB261" i="1"/>
  <c r="AA261" i="1"/>
  <c r="Z261" i="1"/>
  <c r="X261" i="1"/>
  <c r="W261" i="1"/>
  <c r="V261" i="1"/>
  <c r="S261" i="1"/>
  <c r="R261" i="1"/>
  <c r="Q261" i="1"/>
  <c r="O261" i="1"/>
  <c r="M261" i="1"/>
  <c r="L261" i="1"/>
  <c r="K261" i="1"/>
  <c r="J261" i="1"/>
  <c r="I261" i="1"/>
  <c r="H261" i="1"/>
  <c r="G261" i="1"/>
  <c r="F261" i="1"/>
  <c r="E261" i="1"/>
  <c r="D261" i="1"/>
  <c r="AO260" i="1"/>
  <c r="AN260" i="1"/>
  <c r="AM260" i="1"/>
  <c r="AL260" i="1"/>
  <c r="AK260" i="1"/>
  <c r="AJ260" i="1"/>
  <c r="AI260" i="1"/>
  <c r="AG260" i="1"/>
  <c r="AE260" i="1"/>
  <c r="AD260" i="1"/>
  <c r="AB260" i="1"/>
  <c r="AA260" i="1"/>
  <c r="Z260" i="1"/>
  <c r="X260" i="1"/>
  <c r="W260" i="1"/>
  <c r="V260" i="1"/>
  <c r="S260" i="1"/>
  <c r="R260" i="1"/>
  <c r="Q260" i="1"/>
  <c r="O260" i="1"/>
  <c r="M260" i="1"/>
  <c r="L260" i="1"/>
  <c r="K260" i="1"/>
  <c r="J260" i="1"/>
  <c r="I260" i="1"/>
  <c r="H260" i="1"/>
  <c r="G260" i="1"/>
  <c r="F260" i="1"/>
  <c r="E260" i="1"/>
  <c r="D260" i="1"/>
  <c r="AO259" i="1"/>
  <c r="AN259" i="1"/>
  <c r="AM259" i="1"/>
  <c r="AL259" i="1"/>
  <c r="AK259" i="1"/>
  <c r="AJ259" i="1"/>
  <c r="AI259" i="1"/>
  <c r="AG259" i="1"/>
  <c r="AE259" i="1"/>
  <c r="AD259" i="1"/>
  <c r="AB259" i="1"/>
  <c r="AA259" i="1"/>
  <c r="Z259" i="1"/>
  <c r="X259" i="1"/>
  <c r="W259" i="1"/>
  <c r="V259" i="1"/>
  <c r="S259" i="1"/>
  <c r="R259" i="1"/>
  <c r="Q259" i="1"/>
  <c r="O259" i="1"/>
  <c r="M259" i="1"/>
  <c r="L259" i="1"/>
  <c r="K259" i="1"/>
  <c r="J259" i="1"/>
  <c r="I259" i="1"/>
  <c r="H259" i="1"/>
  <c r="G259" i="1"/>
  <c r="F259" i="1"/>
  <c r="E259" i="1"/>
  <c r="D259" i="1"/>
  <c r="AO258" i="1"/>
  <c r="AN258" i="1"/>
  <c r="AM258" i="1"/>
  <c r="AL258" i="1"/>
  <c r="AK258" i="1"/>
  <c r="AJ258" i="1"/>
  <c r="AI258" i="1"/>
  <c r="AG258" i="1"/>
  <c r="AE258" i="1"/>
  <c r="AD258" i="1"/>
  <c r="AB258" i="1"/>
  <c r="AA258" i="1"/>
  <c r="Z258" i="1"/>
  <c r="X258" i="1"/>
  <c r="W258" i="1"/>
  <c r="V258" i="1"/>
  <c r="S258" i="1"/>
  <c r="R258" i="1"/>
  <c r="Q258" i="1"/>
  <c r="O258" i="1"/>
  <c r="M258" i="1"/>
  <c r="L258" i="1"/>
  <c r="K258" i="1"/>
  <c r="J258" i="1"/>
  <c r="I258" i="1"/>
  <c r="H258" i="1"/>
  <c r="G258" i="1"/>
  <c r="F258" i="1"/>
  <c r="E258" i="1"/>
  <c r="D258" i="1"/>
  <c r="AO257" i="1"/>
  <c r="AN257" i="1"/>
  <c r="AM257" i="1"/>
  <c r="AL257" i="1"/>
  <c r="AK257" i="1"/>
  <c r="AJ257" i="1"/>
  <c r="AI257" i="1"/>
  <c r="AG257" i="1"/>
  <c r="AE257" i="1"/>
  <c r="AD257" i="1"/>
  <c r="AB257" i="1"/>
  <c r="AA257" i="1"/>
  <c r="Z257" i="1"/>
  <c r="X257" i="1"/>
  <c r="W257" i="1"/>
  <c r="V257" i="1"/>
  <c r="S257" i="1"/>
  <c r="R257" i="1"/>
  <c r="Q257" i="1"/>
  <c r="O257" i="1"/>
  <c r="M257" i="1"/>
  <c r="L257" i="1"/>
  <c r="K257" i="1"/>
  <c r="J257" i="1"/>
  <c r="I257" i="1"/>
  <c r="H257" i="1"/>
  <c r="G257" i="1"/>
  <c r="F257" i="1"/>
  <c r="E257" i="1"/>
  <c r="D257" i="1"/>
  <c r="AO256" i="1"/>
  <c r="AN256" i="1"/>
  <c r="AM256" i="1"/>
  <c r="AL256" i="1"/>
  <c r="AK256" i="1"/>
  <c r="AJ256" i="1"/>
  <c r="AI256" i="1"/>
  <c r="AG256" i="1"/>
  <c r="AE256" i="1"/>
  <c r="AD256" i="1"/>
  <c r="AB256" i="1"/>
  <c r="AA256" i="1"/>
  <c r="Z256" i="1"/>
  <c r="X256" i="1"/>
  <c r="W256" i="1"/>
  <c r="V256" i="1"/>
  <c r="S256" i="1"/>
  <c r="R256" i="1"/>
  <c r="Q256" i="1"/>
  <c r="O256" i="1"/>
  <c r="M256" i="1"/>
  <c r="L256" i="1"/>
  <c r="K256" i="1"/>
  <c r="J256" i="1"/>
  <c r="I256" i="1"/>
  <c r="H256" i="1"/>
  <c r="G256" i="1"/>
  <c r="F256" i="1"/>
  <c r="E256" i="1"/>
  <c r="D256" i="1"/>
  <c r="AO255" i="1"/>
  <c r="AN255" i="1"/>
  <c r="AM255" i="1"/>
  <c r="AL255" i="1"/>
  <c r="AK255" i="1"/>
  <c r="AJ255" i="1"/>
  <c r="AI255" i="1"/>
  <c r="AG255" i="1"/>
  <c r="AE255" i="1"/>
  <c r="AD255" i="1"/>
  <c r="AB255" i="1"/>
  <c r="AA255" i="1"/>
  <c r="Z255" i="1"/>
  <c r="X255" i="1"/>
  <c r="W255" i="1"/>
  <c r="V255" i="1"/>
  <c r="S255" i="1"/>
  <c r="R255" i="1"/>
  <c r="Q255" i="1"/>
  <c r="O255" i="1"/>
  <c r="M255" i="1"/>
  <c r="L255" i="1"/>
  <c r="K255" i="1"/>
  <c r="J255" i="1"/>
  <c r="I255" i="1"/>
  <c r="H255" i="1"/>
  <c r="G255" i="1"/>
  <c r="F255" i="1"/>
  <c r="E255" i="1"/>
  <c r="D255" i="1"/>
  <c r="AO254" i="1"/>
  <c r="AN254" i="1"/>
  <c r="AM254" i="1"/>
  <c r="AL254" i="1"/>
  <c r="AK254" i="1"/>
  <c r="AJ254" i="1"/>
  <c r="AI254" i="1"/>
  <c r="AG254" i="1"/>
  <c r="AE254" i="1"/>
  <c r="AD254" i="1"/>
  <c r="AB254" i="1"/>
  <c r="AA254" i="1"/>
  <c r="Z254" i="1"/>
  <c r="X254" i="1"/>
  <c r="W254" i="1"/>
  <c r="V254" i="1"/>
  <c r="S254" i="1"/>
  <c r="R254" i="1"/>
  <c r="Q254" i="1"/>
  <c r="O254" i="1"/>
  <c r="M254" i="1"/>
  <c r="L254" i="1"/>
  <c r="K254" i="1"/>
  <c r="J254" i="1"/>
  <c r="I254" i="1"/>
  <c r="H254" i="1"/>
  <c r="G254" i="1"/>
  <c r="F254" i="1"/>
  <c r="E254" i="1"/>
  <c r="D254" i="1"/>
  <c r="AO253" i="1"/>
  <c r="AN253" i="1"/>
  <c r="AM253" i="1"/>
  <c r="AL253" i="1"/>
  <c r="AK253" i="1"/>
  <c r="AJ253" i="1"/>
  <c r="AI253" i="1"/>
  <c r="AG253" i="1"/>
  <c r="AE253" i="1"/>
  <c r="AD253" i="1"/>
  <c r="AB253" i="1"/>
  <c r="AA253" i="1"/>
  <c r="Z253" i="1"/>
  <c r="X253" i="1"/>
  <c r="W253" i="1"/>
  <c r="V253" i="1"/>
  <c r="S253" i="1"/>
  <c r="R253" i="1"/>
  <c r="Q253" i="1"/>
  <c r="O253" i="1"/>
  <c r="M253" i="1"/>
  <c r="L253" i="1"/>
  <c r="K253" i="1"/>
  <c r="J253" i="1"/>
  <c r="I253" i="1"/>
  <c r="H253" i="1"/>
  <c r="G253" i="1"/>
  <c r="F253" i="1"/>
  <c r="E253" i="1"/>
  <c r="D253" i="1"/>
  <c r="AO252" i="1"/>
  <c r="AN252" i="1"/>
  <c r="AM252" i="1"/>
  <c r="AL252" i="1"/>
  <c r="AK252" i="1"/>
  <c r="AJ252" i="1"/>
  <c r="AI252" i="1"/>
  <c r="AG252" i="1"/>
  <c r="AE252" i="1"/>
  <c r="AD252" i="1"/>
  <c r="AB252" i="1"/>
  <c r="AA252" i="1"/>
  <c r="Z252" i="1"/>
  <c r="X252" i="1"/>
  <c r="W252" i="1"/>
  <c r="V252" i="1"/>
  <c r="S252" i="1"/>
  <c r="R252" i="1"/>
  <c r="Q252" i="1"/>
  <c r="O252" i="1"/>
  <c r="M252" i="1"/>
  <c r="L252" i="1"/>
  <c r="K252" i="1"/>
  <c r="J252" i="1"/>
  <c r="I252" i="1"/>
  <c r="H252" i="1"/>
  <c r="G252" i="1"/>
  <c r="F252" i="1"/>
  <c r="E252" i="1"/>
  <c r="D252" i="1"/>
  <c r="AO251" i="1"/>
  <c r="AN251" i="1"/>
  <c r="AM251" i="1"/>
  <c r="AL251" i="1"/>
  <c r="AK251" i="1"/>
  <c r="AJ251" i="1"/>
  <c r="AI251" i="1"/>
  <c r="AG251" i="1"/>
  <c r="AE251" i="1"/>
  <c r="AD251" i="1"/>
  <c r="AB251" i="1"/>
  <c r="AA251" i="1"/>
  <c r="Z251" i="1"/>
  <c r="X251" i="1"/>
  <c r="W251" i="1"/>
  <c r="V251" i="1"/>
  <c r="S251" i="1"/>
  <c r="R251" i="1"/>
  <c r="Q251" i="1"/>
  <c r="O251" i="1"/>
  <c r="M251" i="1"/>
  <c r="L251" i="1"/>
  <c r="K251" i="1"/>
  <c r="J251" i="1"/>
  <c r="I251" i="1"/>
  <c r="H251" i="1"/>
  <c r="G251" i="1"/>
  <c r="F251" i="1"/>
  <c r="E251" i="1"/>
  <c r="D251" i="1"/>
  <c r="AO250" i="1"/>
  <c r="AN250" i="1"/>
  <c r="AM250" i="1"/>
  <c r="AL250" i="1"/>
  <c r="AK250" i="1"/>
  <c r="AJ250" i="1"/>
  <c r="AI250" i="1"/>
  <c r="AG250" i="1"/>
  <c r="AE250" i="1"/>
  <c r="AD250" i="1"/>
  <c r="AB250" i="1"/>
  <c r="AA250" i="1"/>
  <c r="Z250" i="1"/>
  <c r="X250" i="1"/>
  <c r="W250" i="1"/>
  <c r="V250" i="1"/>
  <c r="S250" i="1"/>
  <c r="R250" i="1"/>
  <c r="Q250" i="1"/>
  <c r="O250" i="1"/>
  <c r="M250" i="1"/>
  <c r="L250" i="1"/>
  <c r="K250" i="1"/>
  <c r="J250" i="1"/>
  <c r="I250" i="1"/>
  <c r="H250" i="1"/>
  <c r="G250" i="1"/>
  <c r="F250" i="1"/>
  <c r="E250" i="1"/>
  <c r="D250" i="1"/>
  <c r="AO249" i="1"/>
  <c r="AN249" i="1"/>
  <c r="AM249" i="1"/>
  <c r="AL249" i="1"/>
  <c r="AK249" i="1"/>
  <c r="AJ249" i="1"/>
  <c r="AI249" i="1"/>
  <c r="AG249" i="1"/>
  <c r="AE249" i="1"/>
  <c r="AD249" i="1"/>
  <c r="AB249" i="1"/>
  <c r="AA249" i="1"/>
  <c r="Z249" i="1"/>
  <c r="X249" i="1"/>
  <c r="W249" i="1"/>
  <c r="V249" i="1"/>
  <c r="S249" i="1"/>
  <c r="R249" i="1"/>
  <c r="Q249" i="1"/>
  <c r="O249" i="1"/>
  <c r="M249" i="1"/>
  <c r="L249" i="1"/>
  <c r="K249" i="1"/>
  <c r="J249" i="1"/>
  <c r="I249" i="1"/>
  <c r="H249" i="1"/>
  <c r="G249" i="1"/>
  <c r="F249" i="1"/>
  <c r="E249" i="1"/>
  <c r="D249" i="1"/>
  <c r="AO248" i="1"/>
  <c r="AN248" i="1"/>
  <c r="AM248" i="1"/>
  <c r="AL248" i="1"/>
  <c r="AK248" i="1"/>
  <c r="AJ248" i="1"/>
  <c r="AI248" i="1"/>
  <c r="AG248" i="1"/>
  <c r="AE248" i="1"/>
  <c r="AD248" i="1"/>
  <c r="AB248" i="1"/>
  <c r="AA248" i="1"/>
  <c r="Z248" i="1"/>
  <c r="X248" i="1"/>
  <c r="W248" i="1"/>
  <c r="V248" i="1"/>
  <c r="S248" i="1"/>
  <c r="R248" i="1"/>
  <c r="Q248" i="1"/>
  <c r="O248" i="1"/>
  <c r="M248" i="1"/>
  <c r="L248" i="1"/>
  <c r="K248" i="1"/>
  <c r="J248" i="1"/>
  <c r="I248" i="1"/>
  <c r="H248" i="1"/>
  <c r="G248" i="1"/>
  <c r="F248" i="1"/>
  <c r="E248" i="1"/>
  <c r="D248" i="1"/>
  <c r="AO247" i="1"/>
  <c r="AN247" i="1"/>
  <c r="AM247" i="1"/>
  <c r="AL247" i="1"/>
  <c r="AK247" i="1"/>
  <c r="AJ247" i="1"/>
  <c r="AI247" i="1"/>
  <c r="AG247" i="1"/>
  <c r="AE247" i="1"/>
  <c r="AD247" i="1"/>
  <c r="AB247" i="1"/>
  <c r="AA247" i="1"/>
  <c r="Z247" i="1"/>
  <c r="X247" i="1"/>
  <c r="W247" i="1"/>
  <c r="V247" i="1"/>
  <c r="S247" i="1"/>
  <c r="R247" i="1"/>
  <c r="Q247" i="1"/>
  <c r="O247" i="1"/>
  <c r="M247" i="1"/>
  <c r="L247" i="1"/>
  <c r="K247" i="1"/>
  <c r="J247" i="1"/>
  <c r="I247" i="1"/>
  <c r="H247" i="1"/>
  <c r="G247" i="1"/>
  <c r="F247" i="1"/>
  <c r="E247" i="1"/>
  <c r="D247" i="1"/>
  <c r="AO246" i="1"/>
  <c r="AN246" i="1"/>
  <c r="AM246" i="1"/>
  <c r="AL246" i="1"/>
  <c r="AK246" i="1"/>
  <c r="AJ246" i="1"/>
  <c r="AI246" i="1"/>
  <c r="AG246" i="1"/>
  <c r="AE246" i="1"/>
  <c r="AD246" i="1"/>
  <c r="AB246" i="1"/>
  <c r="AA246" i="1"/>
  <c r="Z246" i="1"/>
  <c r="X246" i="1"/>
  <c r="W246" i="1"/>
  <c r="V246" i="1"/>
  <c r="S246" i="1"/>
  <c r="R246" i="1"/>
  <c r="Q246" i="1"/>
  <c r="O246" i="1"/>
  <c r="M246" i="1"/>
  <c r="L246" i="1"/>
  <c r="K246" i="1"/>
  <c r="J246" i="1"/>
  <c r="I246" i="1"/>
  <c r="H246" i="1"/>
  <c r="G246" i="1"/>
  <c r="F246" i="1"/>
  <c r="E246" i="1"/>
  <c r="D246" i="1"/>
  <c r="AO245" i="1"/>
  <c r="AN245" i="1"/>
  <c r="AM245" i="1"/>
  <c r="AL245" i="1"/>
  <c r="AK245" i="1"/>
  <c r="AJ245" i="1"/>
  <c r="AI245" i="1"/>
  <c r="AG245" i="1"/>
  <c r="AE245" i="1"/>
  <c r="AD245" i="1"/>
  <c r="AB245" i="1"/>
  <c r="AA245" i="1"/>
  <c r="Z245" i="1"/>
  <c r="X245" i="1"/>
  <c r="W245" i="1"/>
  <c r="V245" i="1"/>
  <c r="S245" i="1"/>
  <c r="R245" i="1"/>
  <c r="Q245" i="1"/>
  <c r="O245" i="1"/>
  <c r="M245" i="1"/>
  <c r="L245" i="1"/>
  <c r="K245" i="1"/>
  <c r="J245" i="1"/>
  <c r="I245" i="1"/>
  <c r="H245" i="1"/>
  <c r="G245" i="1"/>
  <c r="F245" i="1"/>
  <c r="E245" i="1"/>
  <c r="D245" i="1"/>
  <c r="AO244" i="1"/>
  <c r="AN244" i="1"/>
  <c r="AM244" i="1"/>
  <c r="AL244" i="1"/>
  <c r="AK244" i="1"/>
  <c r="AJ244" i="1"/>
  <c r="AI244" i="1"/>
  <c r="AG244" i="1"/>
  <c r="AE244" i="1"/>
  <c r="AD244" i="1"/>
  <c r="AB244" i="1"/>
  <c r="AA244" i="1"/>
  <c r="Z244" i="1"/>
  <c r="X244" i="1"/>
  <c r="W244" i="1"/>
  <c r="V244" i="1"/>
  <c r="S244" i="1"/>
  <c r="R244" i="1"/>
  <c r="Q244" i="1"/>
  <c r="O244" i="1"/>
  <c r="M244" i="1"/>
  <c r="L244" i="1"/>
  <c r="K244" i="1"/>
  <c r="J244" i="1"/>
  <c r="I244" i="1"/>
  <c r="H244" i="1"/>
  <c r="G244" i="1"/>
  <c r="F244" i="1"/>
  <c r="E244" i="1"/>
  <c r="D244" i="1"/>
  <c r="AO243" i="1"/>
  <c r="AN243" i="1"/>
  <c r="AM243" i="1"/>
  <c r="AL243" i="1"/>
  <c r="AK243" i="1"/>
  <c r="AJ243" i="1"/>
  <c r="AI243" i="1"/>
  <c r="AG243" i="1"/>
  <c r="AE243" i="1"/>
  <c r="AD243" i="1"/>
  <c r="AB243" i="1"/>
  <c r="AA243" i="1"/>
  <c r="Z243" i="1"/>
  <c r="X243" i="1"/>
  <c r="W243" i="1"/>
  <c r="V243" i="1"/>
  <c r="S243" i="1"/>
  <c r="R243" i="1"/>
  <c r="Q243" i="1"/>
  <c r="O243" i="1"/>
  <c r="M243" i="1"/>
  <c r="L243" i="1"/>
  <c r="K243" i="1"/>
  <c r="J243" i="1"/>
  <c r="I243" i="1"/>
  <c r="H243" i="1"/>
  <c r="G243" i="1"/>
  <c r="F243" i="1"/>
  <c r="E243" i="1"/>
  <c r="D243" i="1"/>
  <c r="AO242" i="1"/>
  <c r="AN242" i="1"/>
  <c r="AM242" i="1"/>
  <c r="AL242" i="1"/>
  <c r="AK242" i="1"/>
  <c r="AJ242" i="1"/>
  <c r="AI242" i="1"/>
  <c r="AG242" i="1"/>
  <c r="AE242" i="1"/>
  <c r="AD242" i="1"/>
  <c r="AB242" i="1"/>
  <c r="AA242" i="1"/>
  <c r="Z242" i="1"/>
  <c r="X242" i="1"/>
  <c r="W242" i="1"/>
  <c r="V242" i="1"/>
  <c r="S242" i="1"/>
  <c r="R242" i="1"/>
  <c r="Q242" i="1"/>
  <c r="O242" i="1"/>
  <c r="M242" i="1"/>
  <c r="L242" i="1"/>
  <c r="K242" i="1"/>
  <c r="J242" i="1"/>
  <c r="I242" i="1"/>
  <c r="H242" i="1"/>
  <c r="G242" i="1"/>
  <c r="F242" i="1"/>
  <c r="E242" i="1"/>
  <c r="D242" i="1"/>
  <c r="AO241" i="1"/>
  <c r="AN241" i="1"/>
  <c r="AM241" i="1"/>
  <c r="AL241" i="1"/>
  <c r="AK241" i="1"/>
  <c r="AJ241" i="1"/>
  <c r="AI241" i="1"/>
  <c r="AG241" i="1"/>
  <c r="AE241" i="1"/>
  <c r="AD241" i="1"/>
  <c r="AB241" i="1"/>
  <c r="AA241" i="1"/>
  <c r="Z241" i="1"/>
  <c r="X241" i="1"/>
  <c r="W241" i="1"/>
  <c r="V241" i="1"/>
  <c r="S241" i="1"/>
  <c r="R241" i="1"/>
  <c r="Q241" i="1"/>
  <c r="O241" i="1"/>
  <c r="M241" i="1"/>
  <c r="L241" i="1"/>
  <c r="K241" i="1"/>
  <c r="J241" i="1"/>
  <c r="I241" i="1"/>
  <c r="H241" i="1"/>
  <c r="G241" i="1"/>
  <c r="F241" i="1"/>
  <c r="E241" i="1"/>
  <c r="D241" i="1"/>
  <c r="AO240" i="1"/>
  <c r="AN240" i="1"/>
  <c r="AM240" i="1"/>
  <c r="AL240" i="1"/>
  <c r="AK240" i="1"/>
  <c r="AJ240" i="1"/>
  <c r="AI240" i="1"/>
  <c r="AG240" i="1"/>
  <c r="AE240" i="1"/>
  <c r="AD240" i="1"/>
  <c r="AB240" i="1"/>
  <c r="AA240" i="1"/>
  <c r="Z240" i="1"/>
  <c r="X240" i="1"/>
  <c r="W240" i="1"/>
  <c r="V240" i="1"/>
  <c r="S240" i="1"/>
  <c r="R240" i="1"/>
  <c r="Q240" i="1"/>
  <c r="O240" i="1"/>
  <c r="M240" i="1"/>
  <c r="L240" i="1"/>
  <c r="K240" i="1"/>
  <c r="J240" i="1"/>
  <c r="I240" i="1"/>
  <c r="H240" i="1"/>
  <c r="G240" i="1"/>
  <c r="F240" i="1"/>
  <c r="E240" i="1"/>
  <c r="D240" i="1"/>
  <c r="AO239" i="1"/>
  <c r="AN239" i="1"/>
  <c r="AM239" i="1"/>
  <c r="AL239" i="1"/>
  <c r="AK239" i="1"/>
  <c r="AJ239" i="1"/>
  <c r="AI239" i="1"/>
  <c r="AG239" i="1"/>
  <c r="AE239" i="1"/>
  <c r="AD239" i="1"/>
  <c r="AB239" i="1"/>
  <c r="AA239" i="1"/>
  <c r="Z239" i="1"/>
  <c r="X239" i="1"/>
  <c r="W239" i="1"/>
  <c r="V239" i="1"/>
  <c r="S239" i="1"/>
  <c r="R239" i="1"/>
  <c r="Q239" i="1"/>
  <c r="O239" i="1"/>
  <c r="M239" i="1"/>
  <c r="L239" i="1"/>
  <c r="K239" i="1"/>
  <c r="J239" i="1"/>
  <c r="I239" i="1"/>
  <c r="H239" i="1"/>
  <c r="G239" i="1"/>
  <c r="F239" i="1"/>
  <c r="E239" i="1"/>
  <c r="D239" i="1"/>
  <c r="AO238" i="1"/>
  <c r="AN238" i="1"/>
  <c r="AM238" i="1"/>
  <c r="AL238" i="1"/>
  <c r="AK238" i="1"/>
  <c r="AJ238" i="1"/>
  <c r="AI238" i="1"/>
  <c r="AG238" i="1"/>
  <c r="AE238" i="1"/>
  <c r="AD238" i="1"/>
  <c r="AB238" i="1"/>
  <c r="AA238" i="1"/>
  <c r="Z238" i="1"/>
  <c r="X238" i="1"/>
  <c r="W238" i="1"/>
  <c r="V238" i="1"/>
  <c r="S238" i="1"/>
  <c r="R238" i="1"/>
  <c r="Q238" i="1"/>
  <c r="O238" i="1"/>
  <c r="M238" i="1"/>
  <c r="L238" i="1"/>
  <c r="K238" i="1"/>
  <c r="J238" i="1"/>
  <c r="I238" i="1"/>
  <c r="H238" i="1"/>
  <c r="G238" i="1"/>
  <c r="F238" i="1"/>
  <c r="E238" i="1"/>
  <c r="D238" i="1"/>
  <c r="AO237" i="1"/>
  <c r="AN237" i="1"/>
  <c r="AM237" i="1"/>
  <c r="AL237" i="1"/>
  <c r="AK237" i="1"/>
  <c r="AJ237" i="1"/>
  <c r="AI237" i="1"/>
  <c r="AG237" i="1"/>
  <c r="AE237" i="1"/>
  <c r="AD237" i="1"/>
  <c r="AB237" i="1"/>
  <c r="AA237" i="1"/>
  <c r="Z237" i="1"/>
  <c r="X237" i="1"/>
  <c r="W237" i="1"/>
  <c r="V237" i="1"/>
  <c r="S237" i="1"/>
  <c r="R237" i="1"/>
  <c r="Q237" i="1"/>
  <c r="O237" i="1"/>
  <c r="M237" i="1"/>
  <c r="L237" i="1"/>
  <c r="K237" i="1"/>
  <c r="J237" i="1"/>
  <c r="I237" i="1"/>
  <c r="H237" i="1"/>
  <c r="G237" i="1"/>
  <c r="F237" i="1"/>
  <c r="E237" i="1"/>
  <c r="D237" i="1"/>
  <c r="AO236" i="1"/>
  <c r="AN236" i="1"/>
  <c r="AM236" i="1"/>
  <c r="AL236" i="1"/>
  <c r="AK236" i="1"/>
  <c r="AJ236" i="1"/>
  <c r="AI236" i="1"/>
  <c r="AG236" i="1"/>
  <c r="AE236" i="1"/>
  <c r="AD236" i="1"/>
  <c r="AB236" i="1"/>
  <c r="AA236" i="1"/>
  <c r="Z236" i="1"/>
  <c r="X236" i="1"/>
  <c r="W236" i="1"/>
  <c r="V236" i="1"/>
  <c r="S236" i="1"/>
  <c r="R236" i="1"/>
  <c r="Q236" i="1"/>
  <c r="O236" i="1"/>
  <c r="M236" i="1"/>
  <c r="L236" i="1"/>
  <c r="K236" i="1"/>
  <c r="J236" i="1"/>
  <c r="I236" i="1"/>
  <c r="H236" i="1"/>
  <c r="G236" i="1"/>
  <c r="F236" i="1"/>
  <c r="E236" i="1"/>
  <c r="D236" i="1"/>
  <c r="AO235" i="1"/>
  <c r="AN235" i="1"/>
  <c r="AM235" i="1"/>
  <c r="AL235" i="1"/>
  <c r="AK235" i="1"/>
  <c r="AJ235" i="1"/>
  <c r="AI235" i="1"/>
  <c r="AG235" i="1"/>
  <c r="AE235" i="1"/>
  <c r="AD235" i="1"/>
  <c r="AB235" i="1"/>
  <c r="AA235" i="1"/>
  <c r="Z235" i="1"/>
  <c r="X235" i="1"/>
  <c r="W235" i="1"/>
  <c r="V235" i="1"/>
  <c r="S235" i="1"/>
  <c r="R235" i="1"/>
  <c r="Q235" i="1"/>
  <c r="O235" i="1"/>
  <c r="M235" i="1"/>
  <c r="L235" i="1"/>
  <c r="K235" i="1"/>
  <c r="J235" i="1"/>
  <c r="I235" i="1"/>
  <c r="H235" i="1"/>
  <c r="G235" i="1"/>
  <c r="F235" i="1"/>
  <c r="E235" i="1"/>
  <c r="D235" i="1"/>
  <c r="AO234" i="1"/>
  <c r="AN234" i="1"/>
  <c r="AM234" i="1"/>
  <c r="AL234" i="1"/>
  <c r="AK234" i="1"/>
  <c r="AJ234" i="1"/>
  <c r="AI234" i="1"/>
  <c r="AG234" i="1"/>
  <c r="AE234" i="1"/>
  <c r="AD234" i="1"/>
  <c r="AB234" i="1"/>
  <c r="AA234" i="1"/>
  <c r="Z234" i="1"/>
  <c r="X234" i="1"/>
  <c r="W234" i="1"/>
  <c r="V234" i="1"/>
  <c r="S234" i="1"/>
  <c r="R234" i="1"/>
  <c r="Q234" i="1"/>
  <c r="O234" i="1"/>
  <c r="M234" i="1"/>
  <c r="L234" i="1"/>
  <c r="K234" i="1"/>
  <c r="J234" i="1"/>
  <c r="I234" i="1"/>
  <c r="H234" i="1"/>
  <c r="G234" i="1"/>
  <c r="F234" i="1"/>
  <c r="E234" i="1"/>
  <c r="D234" i="1"/>
  <c r="AO233" i="1"/>
  <c r="AN233" i="1"/>
  <c r="AM233" i="1"/>
  <c r="AL233" i="1"/>
  <c r="AK233" i="1"/>
  <c r="AJ233" i="1"/>
  <c r="AI233" i="1"/>
  <c r="AG233" i="1"/>
  <c r="AE233" i="1"/>
  <c r="AD233" i="1"/>
  <c r="AB233" i="1"/>
  <c r="AA233" i="1"/>
  <c r="Z233" i="1"/>
  <c r="X233" i="1"/>
  <c r="W233" i="1"/>
  <c r="V233" i="1"/>
  <c r="S233" i="1"/>
  <c r="R233" i="1"/>
  <c r="Q233" i="1"/>
  <c r="O233" i="1"/>
  <c r="M233" i="1"/>
  <c r="L233" i="1"/>
  <c r="K233" i="1"/>
  <c r="J233" i="1"/>
  <c r="I233" i="1"/>
  <c r="H233" i="1"/>
  <c r="G233" i="1"/>
  <c r="F233" i="1"/>
  <c r="E233" i="1"/>
  <c r="D233" i="1"/>
  <c r="AO232" i="1"/>
  <c r="AN232" i="1"/>
  <c r="AM232" i="1"/>
  <c r="AL232" i="1"/>
  <c r="AK232" i="1"/>
  <c r="AJ232" i="1"/>
  <c r="AI232" i="1"/>
  <c r="AG232" i="1"/>
  <c r="AE232" i="1"/>
  <c r="AD232" i="1"/>
  <c r="AB232" i="1"/>
  <c r="AA232" i="1"/>
  <c r="Z232" i="1"/>
  <c r="X232" i="1"/>
  <c r="W232" i="1"/>
  <c r="V232" i="1"/>
  <c r="S232" i="1"/>
  <c r="R232" i="1"/>
  <c r="Q232" i="1"/>
  <c r="O232" i="1"/>
  <c r="M232" i="1"/>
  <c r="L232" i="1"/>
  <c r="K232" i="1"/>
  <c r="J232" i="1"/>
  <c r="I232" i="1"/>
  <c r="H232" i="1"/>
  <c r="G232" i="1"/>
  <c r="F232" i="1"/>
  <c r="E232" i="1"/>
  <c r="D232" i="1"/>
  <c r="AO231" i="1"/>
  <c r="AN231" i="1"/>
  <c r="AM231" i="1"/>
  <c r="AL231" i="1"/>
  <c r="AK231" i="1"/>
  <c r="AJ231" i="1"/>
  <c r="AI231" i="1"/>
  <c r="AG231" i="1"/>
  <c r="AE231" i="1"/>
  <c r="AD231" i="1"/>
  <c r="AB231" i="1"/>
  <c r="AA231" i="1"/>
  <c r="Z231" i="1"/>
  <c r="X231" i="1"/>
  <c r="W231" i="1"/>
  <c r="V231" i="1"/>
  <c r="S231" i="1"/>
  <c r="R231" i="1"/>
  <c r="Q231" i="1"/>
  <c r="O231" i="1"/>
  <c r="M231" i="1"/>
  <c r="L231" i="1"/>
  <c r="K231" i="1"/>
  <c r="J231" i="1"/>
  <c r="I231" i="1"/>
  <c r="H231" i="1"/>
  <c r="G231" i="1"/>
  <c r="F231" i="1"/>
  <c r="E231" i="1"/>
  <c r="D231" i="1"/>
  <c r="AO230" i="1"/>
  <c r="AN230" i="1"/>
  <c r="AM230" i="1"/>
  <c r="AL230" i="1"/>
  <c r="AK230" i="1"/>
  <c r="AJ230" i="1"/>
  <c r="AI230" i="1"/>
  <c r="AG230" i="1"/>
  <c r="AE230" i="1"/>
  <c r="AD230" i="1"/>
  <c r="AB230" i="1"/>
  <c r="AA230" i="1"/>
  <c r="Z230" i="1"/>
  <c r="X230" i="1"/>
  <c r="W230" i="1"/>
  <c r="V230" i="1"/>
  <c r="S230" i="1"/>
  <c r="R230" i="1"/>
  <c r="Q230" i="1"/>
  <c r="O230" i="1"/>
  <c r="M230" i="1"/>
  <c r="L230" i="1"/>
  <c r="K230" i="1"/>
  <c r="J230" i="1"/>
  <c r="I230" i="1"/>
  <c r="H230" i="1"/>
  <c r="G230" i="1"/>
  <c r="F230" i="1"/>
  <c r="E230" i="1"/>
  <c r="D230" i="1"/>
  <c r="AO229" i="1"/>
  <c r="AN229" i="1"/>
  <c r="AM229" i="1"/>
  <c r="AL229" i="1"/>
  <c r="AK229" i="1"/>
  <c r="AJ229" i="1"/>
  <c r="AI229" i="1"/>
  <c r="AG229" i="1"/>
  <c r="AE229" i="1"/>
  <c r="AD229" i="1"/>
  <c r="AB229" i="1"/>
  <c r="AA229" i="1"/>
  <c r="Z229" i="1"/>
  <c r="X229" i="1"/>
  <c r="W229" i="1"/>
  <c r="V229" i="1"/>
  <c r="S229" i="1"/>
  <c r="R229" i="1"/>
  <c r="Q229" i="1"/>
  <c r="O229" i="1"/>
  <c r="M229" i="1"/>
  <c r="L229" i="1"/>
  <c r="K229" i="1"/>
  <c r="J229" i="1"/>
  <c r="I229" i="1"/>
  <c r="H229" i="1"/>
  <c r="G229" i="1"/>
  <c r="F229" i="1"/>
  <c r="E229" i="1"/>
  <c r="D229" i="1"/>
  <c r="AO228" i="1"/>
  <c r="AN228" i="1"/>
  <c r="AM228" i="1"/>
  <c r="AL228" i="1"/>
  <c r="AK228" i="1"/>
  <c r="AJ228" i="1"/>
  <c r="AI228" i="1"/>
  <c r="AG228" i="1"/>
  <c r="AE228" i="1"/>
  <c r="AD228" i="1"/>
  <c r="AB228" i="1"/>
  <c r="AA228" i="1"/>
  <c r="Z228" i="1"/>
  <c r="X228" i="1"/>
  <c r="W228" i="1"/>
  <c r="V228" i="1"/>
  <c r="S228" i="1"/>
  <c r="R228" i="1"/>
  <c r="Q228" i="1"/>
  <c r="O228" i="1"/>
  <c r="M228" i="1"/>
  <c r="L228" i="1"/>
  <c r="K228" i="1"/>
  <c r="J228" i="1"/>
  <c r="I228" i="1"/>
  <c r="H228" i="1"/>
  <c r="G228" i="1"/>
  <c r="F228" i="1"/>
  <c r="E228" i="1"/>
  <c r="D228" i="1"/>
  <c r="AO227" i="1"/>
  <c r="AN227" i="1"/>
  <c r="AM227" i="1"/>
  <c r="AL227" i="1"/>
  <c r="AK227" i="1"/>
  <c r="AJ227" i="1"/>
  <c r="AI227" i="1"/>
  <c r="AG227" i="1"/>
  <c r="AE227" i="1"/>
  <c r="AD227" i="1"/>
  <c r="AB227" i="1"/>
  <c r="AA227" i="1"/>
  <c r="Z227" i="1"/>
  <c r="X227" i="1"/>
  <c r="W227" i="1"/>
  <c r="V227" i="1"/>
  <c r="S227" i="1"/>
  <c r="R227" i="1"/>
  <c r="Q227" i="1"/>
  <c r="O227" i="1"/>
  <c r="M227" i="1"/>
  <c r="L227" i="1"/>
  <c r="K227" i="1"/>
  <c r="J227" i="1"/>
  <c r="I227" i="1"/>
  <c r="H227" i="1"/>
  <c r="G227" i="1"/>
  <c r="F227" i="1"/>
  <c r="E227" i="1"/>
  <c r="D227" i="1"/>
  <c r="AO226" i="1"/>
  <c r="AN226" i="1"/>
  <c r="AM226" i="1"/>
  <c r="AL226" i="1"/>
  <c r="AK226" i="1"/>
  <c r="AJ226" i="1"/>
  <c r="AI226" i="1"/>
  <c r="AG226" i="1"/>
  <c r="AE226" i="1"/>
  <c r="AD226" i="1"/>
  <c r="AB226" i="1"/>
  <c r="AA226" i="1"/>
  <c r="Z226" i="1"/>
  <c r="X226" i="1"/>
  <c r="W226" i="1"/>
  <c r="V226" i="1"/>
  <c r="S226" i="1"/>
  <c r="R226" i="1"/>
  <c r="Q226" i="1"/>
  <c r="O226" i="1"/>
  <c r="M226" i="1"/>
  <c r="L226" i="1"/>
  <c r="K226" i="1"/>
  <c r="J226" i="1"/>
  <c r="I226" i="1"/>
  <c r="H226" i="1"/>
  <c r="G226" i="1"/>
  <c r="F226" i="1"/>
  <c r="E226" i="1"/>
  <c r="D226" i="1"/>
  <c r="AO225" i="1"/>
  <c r="AN225" i="1"/>
  <c r="AM225" i="1"/>
  <c r="AL225" i="1"/>
  <c r="AK225" i="1"/>
  <c r="AJ225" i="1"/>
  <c r="AI225" i="1"/>
  <c r="AG225" i="1"/>
  <c r="AE225" i="1"/>
  <c r="AD225" i="1"/>
  <c r="AB225" i="1"/>
  <c r="AA225" i="1"/>
  <c r="Z225" i="1"/>
  <c r="X225" i="1"/>
  <c r="W225" i="1"/>
  <c r="V225" i="1"/>
  <c r="S225" i="1"/>
  <c r="R225" i="1"/>
  <c r="Q225" i="1"/>
  <c r="O225" i="1"/>
  <c r="M225" i="1"/>
  <c r="L225" i="1"/>
  <c r="K225" i="1"/>
  <c r="J225" i="1"/>
  <c r="I225" i="1"/>
  <c r="H225" i="1"/>
  <c r="G225" i="1"/>
  <c r="F225" i="1"/>
  <c r="E225" i="1"/>
  <c r="D225" i="1"/>
  <c r="AO224" i="1"/>
  <c r="AN224" i="1"/>
  <c r="AM224" i="1"/>
  <c r="AL224" i="1"/>
  <c r="AK224" i="1"/>
  <c r="AJ224" i="1"/>
  <c r="AI224" i="1"/>
  <c r="AG224" i="1"/>
  <c r="AE224" i="1"/>
  <c r="AD224" i="1"/>
  <c r="AB224" i="1"/>
  <c r="AA224" i="1"/>
  <c r="Z224" i="1"/>
  <c r="X224" i="1"/>
  <c r="W224" i="1"/>
  <c r="V224" i="1"/>
  <c r="S224" i="1"/>
  <c r="R224" i="1"/>
  <c r="Q224" i="1"/>
  <c r="O224" i="1"/>
  <c r="M224" i="1"/>
  <c r="L224" i="1"/>
  <c r="K224" i="1"/>
  <c r="J224" i="1"/>
  <c r="I224" i="1"/>
  <c r="H224" i="1"/>
  <c r="G224" i="1"/>
  <c r="F224" i="1"/>
  <c r="E224" i="1"/>
  <c r="D224" i="1"/>
  <c r="AO223" i="1"/>
  <c r="AN223" i="1"/>
  <c r="AM223" i="1"/>
  <c r="AL223" i="1"/>
  <c r="AK223" i="1"/>
  <c r="AJ223" i="1"/>
  <c r="AI223" i="1"/>
  <c r="AG223" i="1"/>
  <c r="AE223" i="1"/>
  <c r="AD223" i="1"/>
  <c r="AB223" i="1"/>
  <c r="AA223" i="1"/>
  <c r="Z223" i="1"/>
  <c r="X223" i="1"/>
  <c r="W223" i="1"/>
  <c r="V223" i="1"/>
  <c r="S223" i="1"/>
  <c r="R223" i="1"/>
  <c r="Q223" i="1"/>
  <c r="O223" i="1"/>
  <c r="M223" i="1"/>
  <c r="L223" i="1"/>
  <c r="K223" i="1"/>
  <c r="J223" i="1"/>
  <c r="I223" i="1"/>
  <c r="H223" i="1"/>
  <c r="G223" i="1"/>
  <c r="F223" i="1"/>
  <c r="E223" i="1"/>
  <c r="D223" i="1"/>
  <c r="AO222" i="1"/>
  <c r="AN222" i="1"/>
  <c r="AM222" i="1"/>
  <c r="AL222" i="1"/>
  <c r="AK222" i="1"/>
  <c r="AJ222" i="1"/>
  <c r="AI222" i="1"/>
  <c r="AG222" i="1"/>
  <c r="AE222" i="1"/>
  <c r="AD222" i="1"/>
  <c r="AB222" i="1"/>
  <c r="AA222" i="1"/>
  <c r="Z222" i="1"/>
  <c r="X222" i="1"/>
  <c r="W222" i="1"/>
  <c r="V222" i="1"/>
  <c r="S222" i="1"/>
  <c r="R222" i="1"/>
  <c r="Q222" i="1"/>
  <c r="O222" i="1"/>
  <c r="M222" i="1"/>
  <c r="L222" i="1"/>
  <c r="K222" i="1"/>
  <c r="J222" i="1"/>
  <c r="I222" i="1"/>
  <c r="H222" i="1"/>
  <c r="G222" i="1"/>
  <c r="F222" i="1"/>
  <c r="E222" i="1"/>
  <c r="D222" i="1"/>
  <c r="AO221" i="1"/>
  <c r="AN221" i="1"/>
  <c r="AM221" i="1"/>
  <c r="AL221" i="1"/>
  <c r="AK221" i="1"/>
  <c r="AJ221" i="1"/>
  <c r="AI221" i="1"/>
  <c r="AG221" i="1"/>
  <c r="AE221" i="1"/>
  <c r="AD221" i="1"/>
  <c r="AB221" i="1"/>
  <c r="AA221" i="1"/>
  <c r="Z221" i="1"/>
  <c r="X221" i="1"/>
  <c r="W221" i="1"/>
  <c r="V221" i="1"/>
  <c r="S221" i="1"/>
  <c r="R221" i="1"/>
  <c r="Q221" i="1"/>
  <c r="O221" i="1"/>
  <c r="M221" i="1"/>
  <c r="L221" i="1"/>
  <c r="K221" i="1"/>
  <c r="J221" i="1"/>
  <c r="I221" i="1"/>
  <c r="H221" i="1"/>
  <c r="G221" i="1"/>
  <c r="F221" i="1"/>
  <c r="E221" i="1"/>
  <c r="D221" i="1"/>
  <c r="AO220" i="1"/>
  <c r="AN220" i="1"/>
  <c r="AM220" i="1"/>
  <c r="AL220" i="1"/>
  <c r="AK220" i="1"/>
  <c r="AJ220" i="1"/>
  <c r="AI220" i="1"/>
  <c r="AG220" i="1"/>
  <c r="AE220" i="1"/>
  <c r="AD220" i="1"/>
  <c r="AB220" i="1"/>
  <c r="AA220" i="1"/>
  <c r="Z220" i="1"/>
  <c r="X220" i="1"/>
  <c r="W220" i="1"/>
  <c r="V220" i="1"/>
  <c r="S220" i="1"/>
  <c r="R220" i="1"/>
  <c r="Q220" i="1"/>
  <c r="O220" i="1"/>
  <c r="M220" i="1"/>
  <c r="L220" i="1"/>
  <c r="K220" i="1"/>
  <c r="J220" i="1"/>
  <c r="I220" i="1"/>
  <c r="H220" i="1"/>
  <c r="G220" i="1"/>
  <c r="F220" i="1"/>
  <c r="E220" i="1"/>
  <c r="D220" i="1"/>
  <c r="AO219" i="1"/>
  <c r="AN219" i="1"/>
  <c r="AM219" i="1"/>
  <c r="AL219" i="1"/>
  <c r="AK219" i="1"/>
  <c r="AJ219" i="1"/>
  <c r="AI219" i="1"/>
  <c r="AG219" i="1"/>
  <c r="AE219" i="1"/>
  <c r="AD219" i="1"/>
  <c r="AB219" i="1"/>
  <c r="AA219" i="1"/>
  <c r="Z219" i="1"/>
  <c r="X219" i="1"/>
  <c r="W219" i="1"/>
  <c r="V219" i="1"/>
  <c r="S219" i="1"/>
  <c r="R219" i="1"/>
  <c r="Q219" i="1"/>
  <c r="O219" i="1"/>
  <c r="M219" i="1"/>
  <c r="L219" i="1"/>
  <c r="K219" i="1"/>
  <c r="J219" i="1"/>
  <c r="I219" i="1"/>
  <c r="H219" i="1"/>
  <c r="G219" i="1"/>
  <c r="F219" i="1"/>
  <c r="E219" i="1"/>
  <c r="D219" i="1"/>
  <c r="AO218" i="1"/>
  <c r="AN218" i="1"/>
  <c r="AM218" i="1"/>
  <c r="AL218" i="1"/>
  <c r="AK218" i="1"/>
  <c r="AJ218" i="1"/>
  <c r="AI218" i="1"/>
  <c r="AG218" i="1"/>
  <c r="AE218" i="1"/>
  <c r="AD218" i="1"/>
  <c r="AB218" i="1"/>
  <c r="AA218" i="1"/>
  <c r="Z218" i="1"/>
  <c r="X218" i="1"/>
  <c r="W218" i="1"/>
  <c r="V218" i="1"/>
  <c r="S218" i="1"/>
  <c r="R218" i="1"/>
  <c r="Q218" i="1"/>
  <c r="O218" i="1"/>
  <c r="M218" i="1"/>
  <c r="L218" i="1"/>
  <c r="K218" i="1"/>
  <c r="J218" i="1"/>
  <c r="I218" i="1"/>
  <c r="H218" i="1"/>
  <c r="G218" i="1"/>
  <c r="F218" i="1"/>
  <c r="E218" i="1"/>
  <c r="D218" i="1"/>
  <c r="AO217" i="1"/>
  <c r="AN217" i="1"/>
  <c r="AM217" i="1"/>
  <c r="AL217" i="1"/>
  <c r="AK217" i="1"/>
  <c r="AJ217" i="1"/>
  <c r="AI217" i="1"/>
  <c r="AG217" i="1"/>
  <c r="AE217" i="1"/>
  <c r="AD217" i="1"/>
  <c r="AB217" i="1"/>
  <c r="AA217" i="1"/>
  <c r="Z217" i="1"/>
  <c r="X217" i="1"/>
  <c r="W217" i="1"/>
  <c r="V217" i="1"/>
  <c r="S217" i="1"/>
  <c r="R217" i="1"/>
  <c r="Q217" i="1"/>
  <c r="O217" i="1"/>
  <c r="M217" i="1"/>
  <c r="L217" i="1"/>
  <c r="K217" i="1"/>
  <c r="J217" i="1"/>
  <c r="I217" i="1"/>
  <c r="H217" i="1"/>
  <c r="G217" i="1"/>
  <c r="F217" i="1"/>
  <c r="E217" i="1"/>
  <c r="D217" i="1"/>
  <c r="AO216" i="1"/>
  <c r="AN216" i="1"/>
  <c r="AM216" i="1"/>
  <c r="AL216" i="1"/>
  <c r="AK216" i="1"/>
  <c r="AJ216" i="1"/>
  <c r="AI216" i="1"/>
  <c r="AG216" i="1"/>
  <c r="AE216" i="1"/>
  <c r="AD216" i="1"/>
  <c r="AB216" i="1"/>
  <c r="AA216" i="1"/>
  <c r="Z216" i="1"/>
  <c r="X216" i="1"/>
  <c r="W216" i="1"/>
  <c r="V216" i="1"/>
  <c r="S216" i="1"/>
  <c r="R216" i="1"/>
  <c r="Q216" i="1"/>
  <c r="O216" i="1"/>
  <c r="M216" i="1"/>
  <c r="L216" i="1"/>
  <c r="K216" i="1"/>
  <c r="J216" i="1"/>
  <c r="I216" i="1"/>
  <c r="H216" i="1"/>
  <c r="G216" i="1"/>
  <c r="F216" i="1"/>
  <c r="E216" i="1"/>
  <c r="D216" i="1"/>
  <c r="AO215" i="1"/>
  <c r="AN215" i="1"/>
  <c r="AM215" i="1"/>
  <c r="AL215" i="1"/>
  <c r="AK215" i="1"/>
  <c r="AJ215" i="1"/>
  <c r="AI215" i="1"/>
  <c r="AG215" i="1"/>
  <c r="AE215" i="1"/>
  <c r="AD215" i="1"/>
  <c r="AB215" i="1"/>
  <c r="AA215" i="1"/>
  <c r="Z215" i="1"/>
  <c r="X215" i="1"/>
  <c r="W215" i="1"/>
  <c r="V215" i="1"/>
  <c r="S215" i="1"/>
  <c r="R215" i="1"/>
  <c r="Q215" i="1"/>
  <c r="O215" i="1"/>
  <c r="M215" i="1"/>
  <c r="L215" i="1"/>
  <c r="K215" i="1"/>
  <c r="J215" i="1"/>
  <c r="I215" i="1"/>
  <c r="H215" i="1"/>
  <c r="G215" i="1"/>
  <c r="F215" i="1"/>
  <c r="E215" i="1"/>
  <c r="D215" i="1"/>
  <c r="AO214" i="1"/>
  <c r="AN214" i="1"/>
  <c r="AM214" i="1"/>
  <c r="AL214" i="1"/>
  <c r="AK214" i="1"/>
  <c r="AJ214" i="1"/>
  <c r="AI214" i="1"/>
  <c r="AG214" i="1"/>
  <c r="AE214" i="1"/>
  <c r="AD214" i="1"/>
  <c r="AB214" i="1"/>
  <c r="AA214" i="1"/>
  <c r="Z214" i="1"/>
  <c r="X214" i="1"/>
  <c r="W214" i="1"/>
  <c r="V214" i="1"/>
  <c r="S214" i="1"/>
  <c r="R214" i="1"/>
  <c r="Q214" i="1"/>
  <c r="O214" i="1"/>
  <c r="M214" i="1"/>
  <c r="L214" i="1"/>
  <c r="K214" i="1"/>
  <c r="J214" i="1"/>
  <c r="I214" i="1"/>
  <c r="H214" i="1"/>
  <c r="G214" i="1"/>
  <c r="F214" i="1"/>
  <c r="E214" i="1"/>
  <c r="D214" i="1"/>
  <c r="AO213" i="1"/>
  <c r="AN213" i="1"/>
  <c r="AM213" i="1"/>
  <c r="AL213" i="1"/>
  <c r="AK213" i="1"/>
  <c r="AJ213" i="1"/>
  <c r="AI213" i="1"/>
  <c r="AG213" i="1"/>
  <c r="AE213" i="1"/>
  <c r="AD213" i="1"/>
  <c r="AB213" i="1"/>
  <c r="AA213" i="1"/>
  <c r="Z213" i="1"/>
  <c r="X213" i="1"/>
  <c r="W213" i="1"/>
  <c r="V213" i="1"/>
  <c r="S213" i="1"/>
  <c r="R213" i="1"/>
  <c r="Q213" i="1"/>
  <c r="O213" i="1"/>
  <c r="M213" i="1"/>
  <c r="L213" i="1"/>
  <c r="K213" i="1"/>
  <c r="J213" i="1"/>
  <c r="I213" i="1"/>
  <c r="H213" i="1"/>
  <c r="G213" i="1"/>
  <c r="F213" i="1"/>
  <c r="E213" i="1"/>
  <c r="D213" i="1"/>
  <c r="AO212" i="1"/>
  <c r="AN212" i="1"/>
  <c r="AM212" i="1"/>
  <c r="AL212" i="1"/>
  <c r="AK212" i="1"/>
  <c r="AJ212" i="1"/>
  <c r="AI212" i="1"/>
  <c r="AG212" i="1"/>
  <c r="AE212" i="1"/>
  <c r="AD212" i="1"/>
  <c r="AB212" i="1"/>
  <c r="AA212" i="1"/>
  <c r="Z212" i="1"/>
  <c r="X212" i="1"/>
  <c r="W212" i="1"/>
  <c r="V212" i="1"/>
  <c r="S212" i="1"/>
  <c r="R212" i="1"/>
  <c r="Q212" i="1"/>
  <c r="O212" i="1"/>
  <c r="M212" i="1"/>
  <c r="L212" i="1"/>
  <c r="K212" i="1"/>
  <c r="J212" i="1"/>
  <c r="I212" i="1"/>
  <c r="H212" i="1"/>
  <c r="G212" i="1"/>
  <c r="F212" i="1"/>
  <c r="E212" i="1"/>
  <c r="D212" i="1"/>
  <c r="AO211" i="1"/>
  <c r="AN211" i="1"/>
  <c r="AM211" i="1"/>
  <c r="AL211" i="1"/>
  <c r="AK211" i="1"/>
  <c r="AJ211" i="1"/>
  <c r="AI211" i="1"/>
  <c r="AG211" i="1"/>
  <c r="AE211" i="1"/>
  <c r="AD211" i="1"/>
  <c r="AB211" i="1"/>
  <c r="AA211" i="1"/>
  <c r="Z211" i="1"/>
  <c r="X211" i="1"/>
  <c r="W211" i="1"/>
  <c r="V211" i="1"/>
  <c r="S211" i="1"/>
  <c r="R211" i="1"/>
  <c r="Q211" i="1"/>
  <c r="O211" i="1"/>
  <c r="M211" i="1"/>
  <c r="L211" i="1"/>
  <c r="K211" i="1"/>
  <c r="J211" i="1"/>
  <c r="I211" i="1"/>
  <c r="H211" i="1"/>
  <c r="G211" i="1"/>
  <c r="F211" i="1"/>
  <c r="E211" i="1"/>
  <c r="D211" i="1"/>
  <c r="AO210" i="1"/>
  <c r="AN210" i="1"/>
  <c r="AM210" i="1"/>
  <c r="AL210" i="1"/>
  <c r="AK210" i="1"/>
  <c r="AJ210" i="1"/>
  <c r="AI210" i="1"/>
  <c r="AG210" i="1"/>
  <c r="AE210" i="1"/>
  <c r="AD210" i="1"/>
  <c r="AB210" i="1"/>
  <c r="AA210" i="1"/>
  <c r="Z210" i="1"/>
  <c r="X210" i="1"/>
  <c r="W210" i="1"/>
  <c r="V210" i="1"/>
  <c r="S210" i="1"/>
  <c r="R210" i="1"/>
  <c r="Q210" i="1"/>
  <c r="O210" i="1"/>
  <c r="M210" i="1"/>
  <c r="L210" i="1"/>
  <c r="K210" i="1"/>
  <c r="J210" i="1"/>
  <c r="I210" i="1"/>
  <c r="H210" i="1"/>
  <c r="G210" i="1"/>
  <c r="F210" i="1"/>
  <c r="E210" i="1"/>
  <c r="D210" i="1"/>
  <c r="AO209" i="1"/>
  <c r="AN209" i="1"/>
  <c r="AM209" i="1"/>
  <c r="AL209" i="1"/>
  <c r="AK209" i="1"/>
  <c r="AJ209" i="1"/>
  <c r="AI209" i="1"/>
  <c r="AG209" i="1"/>
  <c r="AE209" i="1"/>
  <c r="AD209" i="1"/>
  <c r="AB209" i="1"/>
  <c r="AA209" i="1"/>
  <c r="Z209" i="1"/>
  <c r="X209" i="1"/>
  <c r="W209" i="1"/>
  <c r="V209" i="1"/>
  <c r="S209" i="1"/>
  <c r="R209" i="1"/>
  <c r="Q209" i="1"/>
  <c r="O209" i="1"/>
  <c r="M209" i="1"/>
  <c r="L209" i="1"/>
  <c r="K209" i="1"/>
  <c r="J209" i="1"/>
  <c r="I209" i="1"/>
  <c r="H209" i="1"/>
  <c r="G209" i="1"/>
  <c r="F209" i="1"/>
  <c r="E209" i="1"/>
  <c r="D209" i="1"/>
  <c r="AO208" i="1"/>
  <c r="AN208" i="1"/>
  <c r="AM208" i="1"/>
  <c r="AL208" i="1"/>
  <c r="AK208" i="1"/>
  <c r="AJ208" i="1"/>
  <c r="AI208" i="1"/>
  <c r="AG208" i="1"/>
  <c r="AE208" i="1"/>
  <c r="AD208" i="1"/>
  <c r="AB208" i="1"/>
  <c r="AA208" i="1"/>
  <c r="Z208" i="1"/>
  <c r="X208" i="1"/>
  <c r="W208" i="1"/>
  <c r="V208" i="1"/>
  <c r="S208" i="1"/>
  <c r="R208" i="1"/>
  <c r="Q208" i="1"/>
  <c r="O208" i="1"/>
  <c r="M208" i="1"/>
  <c r="L208" i="1"/>
  <c r="K208" i="1"/>
  <c r="J208" i="1"/>
  <c r="I208" i="1"/>
  <c r="H208" i="1"/>
  <c r="G208" i="1"/>
  <c r="F208" i="1"/>
  <c r="E208" i="1"/>
  <c r="D208" i="1"/>
  <c r="AO207" i="1"/>
  <c r="AN207" i="1"/>
  <c r="AM207" i="1"/>
  <c r="AL207" i="1"/>
  <c r="AK207" i="1"/>
  <c r="AJ207" i="1"/>
  <c r="AI207" i="1"/>
  <c r="AG207" i="1"/>
  <c r="AE207" i="1"/>
  <c r="AD207" i="1"/>
  <c r="AB207" i="1"/>
  <c r="AA207" i="1"/>
  <c r="Z207" i="1"/>
  <c r="X207" i="1"/>
  <c r="W207" i="1"/>
  <c r="V207" i="1"/>
  <c r="S207" i="1"/>
  <c r="R207" i="1"/>
  <c r="Q207" i="1"/>
  <c r="O207" i="1"/>
  <c r="M207" i="1"/>
  <c r="L207" i="1"/>
  <c r="K207" i="1"/>
  <c r="J207" i="1"/>
  <c r="I207" i="1"/>
  <c r="H207" i="1"/>
  <c r="G207" i="1"/>
  <c r="F207" i="1"/>
  <c r="E207" i="1"/>
  <c r="D207" i="1"/>
  <c r="AO206" i="1"/>
  <c r="AN206" i="1"/>
  <c r="AM206" i="1"/>
  <c r="AL206" i="1"/>
  <c r="AK206" i="1"/>
  <c r="AJ206" i="1"/>
  <c r="AI206" i="1"/>
  <c r="AG206" i="1"/>
  <c r="AE206" i="1"/>
  <c r="AD206" i="1"/>
  <c r="AB206" i="1"/>
  <c r="AA206" i="1"/>
  <c r="Z206" i="1"/>
  <c r="X206" i="1"/>
  <c r="W206" i="1"/>
  <c r="V206" i="1"/>
  <c r="S206" i="1"/>
  <c r="R206" i="1"/>
  <c r="Q206" i="1"/>
  <c r="O206" i="1"/>
  <c r="M206" i="1"/>
  <c r="L206" i="1"/>
  <c r="K206" i="1"/>
  <c r="J206" i="1"/>
  <c r="I206" i="1"/>
  <c r="H206" i="1"/>
  <c r="G206" i="1"/>
  <c r="F206" i="1"/>
  <c r="E206" i="1"/>
  <c r="D206" i="1"/>
  <c r="AO205" i="1"/>
  <c r="AN205" i="1"/>
  <c r="AM205" i="1"/>
  <c r="AL205" i="1"/>
  <c r="AK205" i="1"/>
  <c r="AJ205" i="1"/>
  <c r="AI205" i="1"/>
  <c r="AG205" i="1"/>
  <c r="AE205" i="1"/>
  <c r="AD205" i="1"/>
  <c r="AB205" i="1"/>
  <c r="AA205" i="1"/>
  <c r="Z205" i="1"/>
  <c r="X205" i="1"/>
  <c r="W205" i="1"/>
  <c r="V205" i="1"/>
  <c r="S205" i="1"/>
  <c r="R205" i="1"/>
  <c r="Q205" i="1"/>
  <c r="O205" i="1"/>
  <c r="M205" i="1"/>
  <c r="L205" i="1"/>
  <c r="K205" i="1"/>
  <c r="J205" i="1"/>
  <c r="I205" i="1"/>
  <c r="H205" i="1"/>
  <c r="G205" i="1"/>
  <c r="F205" i="1"/>
  <c r="E205" i="1"/>
  <c r="D205" i="1"/>
  <c r="AO204" i="1"/>
  <c r="AN204" i="1"/>
  <c r="AM204" i="1"/>
  <c r="AL204" i="1"/>
  <c r="AK204" i="1"/>
  <c r="AJ204" i="1"/>
  <c r="AI204" i="1"/>
  <c r="AG204" i="1"/>
  <c r="AE204" i="1"/>
  <c r="AD204" i="1"/>
  <c r="AB204" i="1"/>
  <c r="AA204" i="1"/>
  <c r="Z204" i="1"/>
  <c r="X204" i="1"/>
  <c r="W204" i="1"/>
  <c r="V204" i="1"/>
  <c r="S204" i="1"/>
  <c r="R204" i="1"/>
  <c r="Q204" i="1"/>
  <c r="O204" i="1"/>
  <c r="M204" i="1"/>
  <c r="L204" i="1"/>
  <c r="K204" i="1"/>
  <c r="J204" i="1"/>
  <c r="I204" i="1"/>
  <c r="H204" i="1"/>
  <c r="G204" i="1"/>
  <c r="F204" i="1"/>
  <c r="E204" i="1"/>
  <c r="D204" i="1"/>
  <c r="AO203" i="1"/>
  <c r="AN203" i="1"/>
  <c r="AM203" i="1"/>
  <c r="AL203" i="1"/>
  <c r="AK203" i="1"/>
  <c r="AJ203" i="1"/>
  <c r="AI203" i="1"/>
  <c r="AG203" i="1"/>
  <c r="AE203" i="1"/>
  <c r="AD203" i="1"/>
  <c r="AB203" i="1"/>
  <c r="AA203" i="1"/>
  <c r="Z203" i="1"/>
  <c r="X203" i="1"/>
  <c r="W203" i="1"/>
  <c r="V203" i="1"/>
  <c r="S203" i="1"/>
  <c r="R203" i="1"/>
  <c r="Q203" i="1"/>
  <c r="O203" i="1"/>
  <c r="M203" i="1"/>
  <c r="L203" i="1"/>
  <c r="K203" i="1"/>
  <c r="J203" i="1"/>
  <c r="I203" i="1"/>
  <c r="H203" i="1"/>
  <c r="G203" i="1"/>
  <c r="F203" i="1"/>
  <c r="E203" i="1"/>
  <c r="D203" i="1"/>
  <c r="AO202" i="1"/>
  <c r="AN202" i="1"/>
  <c r="AM202" i="1"/>
  <c r="AL202" i="1"/>
  <c r="AK202" i="1"/>
  <c r="AJ202" i="1"/>
  <c r="AI202" i="1"/>
  <c r="AG202" i="1"/>
  <c r="AE202" i="1"/>
  <c r="AD202" i="1"/>
  <c r="AB202" i="1"/>
  <c r="AA202" i="1"/>
  <c r="Z202" i="1"/>
  <c r="X202" i="1"/>
  <c r="W202" i="1"/>
  <c r="V202" i="1"/>
  <c r="S202" i="1"/>
  <c r="R202" i="1"/>
  <c r="Q202" i="1"/>
  <c r="O202" i="1"/>
  <c r="M202" i="1"/>
  <c r="L202" i="1"/>
  <c r="K202" i="1"/>
  <c r="J202" i="1"/>
  <c r="I202" i="1"/>
  <c r="H202" i="1"/>
  <c r="G202" i="1"/>
  <c r="F202" i="1"/>
  <c r="E202" i="1"/>
  <c r="D202" i="1"/>
  <c r="AO201" i="1"/>
  <c r="AN201" i="1"/>
  <c r="AM201" i="1"/>
  <c r="AL201" i="1"/>
  <c r="AK201" i="1"/>
  <c r="AJ201" i="1"/>
  <c r="AI201" i="1"/>
  <c r="AG201" i="1"/>
  <c r="AE201" i="1"/>
  <c r="AD201" i="1"/>
  <c r="AB201" i="1"/>
  <c r="AA201" i="1"/>
  <c r="Z201" i="1"/>
  <c r="X201" i="1"/>
  <c r="W201" i="1"/>
  <c r="V201" i="1"/>
  <c r="S201" i="1"/>
  <c r="R201" i="1"/>
  <c r="Q201" i="1"/>
  <c r="O201" i="1"/>
  <c r="M201" i="1"/>
  <c r="L201" i="1"/>
  <c r="K201" i="1"/>
  <c r="J201" i="1"/>
  <c r="I201" i="1"/>
  <c r="H201" i="1"/>
  <c r="G201" i="1"/>
  <c r="F201" i="1"/>
  <c r="E201" i="1"/>
  <c r="D201" i="1"/>
  <c r="AO200" i="1"/>
  <c r="AN200" i="1"/>
  <c r="AM200" i="1"/>
  <c r="AL200" i="1"/>
  <c r="AK200" i="1"/>
  <c r="AJ200" i="1"/>
  <c r="AI200" i="1"/>
  <c r="AG200" i="1"/>
  <c r="AE200" i="1"/>
  <c r="AD200" i="1"/>
  <c r="AB200" i="1"/>
  <c r="AA200" i="1"/>
  <c r="Z200" i="1"/>
  <c r="X200" i="1"/>
  <c r="W200" i="1"/>
  <c r="V200" i="1"/>
  <c r="S200" i="1"/>
  <c r="R200" i="1"/>
  <c r="Q200" i="1"/>
  <c r="O200" i="1"/>
  <c r="M200" i="1"/>
  <c r="L200" i="1"/>
  <c r="K200" i="1"/>
  <c r="J200" i="1"/>
  <c r="I200" i="1"/>
  <c r="H200" i="1"/>
  <c r="G200" i="1"/>
  <c r="F200" i="1"/>
  <c r="E200" i="1"/>
  <c r="D200" i="1"/>
  <c r="AO199" i="1"/>
  <c r="AN199" i="1"/>
  <c r="AM199" i="1"/>
  <c r="AL199" i="1"/>
  <c r="AK199" i="1"/>
  <c r="AJ199" i="1"/>
  <c r="AI199" i="1"/>
  <c r="AG199" i="1"/>
  <c r="AE199" i="1"/>
  <c r="AD199" i="1"/>
  <c r="AB199" i="1"/>
  <c r="AA199" i="1"/>
  <c r="Z199" i="1"/>
  <c r="X199" i="1"/>
  <c r="W199" i="1"/>
  <c r="V199" i="1"/>
  <c r="S199" i="1"/>
  <c r="R199" i="1"/>
  <c r="Q199" i="1"/>
  <c r="O199" i="1"/>
  <c r="M199" i="1"/>
  <c r="L199" i="1"/>
  <c r="K199" i="1"/>
  <c r="J199" i="1"/>
  <c r="I199" i="1"/>
  <c r="H199" i="1"/>
  <c r="G199" i="1"/>
  <c r="F199" i="1"/>
  <c r="E199" i="1"/>
  <c r="D199" i="1"/>
  <c r="AO198" i="1"/>
  <c r="AN198" i="1"/>
  <c r="AM198" i="1"/>
  <c r="AL198" i="1"/>
  <c r="AK198" i="1"/>
  <c r="AJ198" i="1"/>
  <c r="AI198" i="1"/>
  <c r="AG198" i="1"/>
  <c r="AE198" i="1"/>
  <c r="AD198" i="1"/>
  <c r="AB198" i="1"/>
  <c r="AA198" i="1"/>
  <c r="Z198" i="1"/>
  <c r="X198" i="1"/>
  <c r="W198" i="1"/>
  <c r="V198" i="1"/>
  <c r="S198" i="1"/>
  <c r="R198" i="1"/>
  <c r="Q198" i="1"/>
  <c r="O198" i="1"/>
  <c r="M198" i="1"/>
  <c r="L198" i="1"/>
  <c r="K198" i="1"/>
  <c r="J198" i="1"/>
  <c r="I198" i="1"/>
  <c r="H198" i="1"/>
  <c r="G198" i="1"/>
  <c r="F198" i="1"/>
  <c r="E198" i="1"/>
  <c r="D198" i="1"/>
  <c r="AO197" i="1"/>
  <c r="AN197" i="1"/>
  <c r="AM197" i="1"/>
  <c r="AL197" i="1"/>
  <c r="AK197" i="1"/>
  <c r="AJ197" i="1"/>
  <c r="AI197" i="1"/>
  <c r="AG197" i="1"/>
  <c r="AE197" i="1"/>
  <c r="AD197" i="1"/>
  <c r="AB197" i="1"/>
  <c r="AA197" i="1"/>
  <c r="Z197" i="1"/>
  <c r="X197" i="1"/>
  <c r="W197" i="1"/>
  <c r="V197" i="1"/>
  <c r="S197" i="1"/>
  <c r="R197" i="1"/>
  <c r="Q197" i="1"/>
  <c r="O197" i="1"/>
  <c r="M197" i="1"/>
  <c r="L197" i="1"/>
  <c r="K197" i="1"/>
  <c r="J197" i="1"/>
  <c r="I197" i="1"/>
  <c r="H197" i="1"/>
  <c r="G197" i="1"/>
  <c r="F197" i="1"/>
  <c r="E197" i="1"/>
  <c r="D197" i="1"/>
  <c r="AO196" i="1"/>
  <c r="AN196" i="1"/>
  <c r="AM196" i="1"/>
  <c r="AL196" i="1"/>
  <c r="AK196" i="1"/>
  <c r="AJ196" i="1"/>
  <c r="AI196" i="1"/>
  <c r="AG196" i="1"/>
  <c r="AE196" i="1"/>
  <c r="AD196" i="1"/>
  <c r="AB196" i="1"/>
  <c r="AA196" i="1"/>
  <c r="Z196" i="1"/>
  <c r="X196" i="1"/>
  <c r="W196" i="1"/>
  <c r="V196" i="1"/>
  <c r="S196" i="1"/>
  <c r="R196" i="1"/>
  <c r="Q196" i="1"/>
  <c r="O196" i="1"/>
  <c r="M196" i="1"/>
  <c r="L196" i="1"/>
  <c r="K196" i="1"/>
  <c r="J196" i="1"/>
  <c r="I196" i="1"/>
  <c r="H196" i="1"/>
  <c r="G196" i="1"/>
  <c r="F196" i="1"/>
  <c r="E196" i="1"/>
  <c r="D196" i="1"/>
  <c r="AO195" i="1"/>
  <c r="AN195" i="1"/>
  <c r="AM195" i="1"/>
  <c r="AL195" i="1"/>
  <c r="AK195" i="1"/>
  <c r="AJ195" i="1"/>
  <c r="AI195" i="1"/>
  <c r="AG195" i="1"/>
  <c r="AE195" i="1"/>
  <c r="AD195" i="1"/>
  <c r="AB195" i="1"/>
  <c r="AA195" i="1"/>
  <c r="Z195" i="1"/>
  <c r="X195" i="1"/>
  <c r="W195" i="1"/>
  <c r="V195" i="1"/>
  <c r="S195" i="1"/>
  <c r="R195" i="1"/>
  <c r="Q195" i="1"/>
  <c r="O195" i="1"/>
  <c r="M195" i="1"/>
  <c r="L195" i="1"/>
  <c r="K195" i="1"/>
  <c r="J195" i="1"/>
  <c r="I195" i="1"/>
  <c r="H195" i="1"/>
  <c r="G195" i="1"/>
  <c r="F195" i="1"/>
  <c r="E195" i="1"/>
  <c r="D195" i="1"/>
  <c r="AO194" i="1"/>
  <c r="AN194" i="1"/>
  <c r="AM194" i="1"/>
  <c r="AL194" i="1"/>
  <c r="AK194" i="1"/>
  <c r="AJ194" i="1"/>
  <c r="AI194" i="1"/>
  <c r="AG194" i="1"/>
  <c r="AE194" i="1"/>
  <c r="AD194" i="1"/>
  <c r="AB194" i="1"/>
  <c r="AA194" i="1"/>
  <c r="Z194" i="1"/>
  <c r="X194" i="1"/>
  <c r="W194" i="1"/>
  <c r="V194" i="1"/>
  <c r="S194" i="1"/>
  <c r="R194" i="1"/>
  <c r="Q194" i="1"/>
  <c r="O194" i="1"/>
  <c r="M194" i="1"/>
  <c r="L194" i="1"/>
  <c r="K194" i="1"/>
  <c r="J194" i="1"/>
  <c r="I194" i="1"/>
  <c r="H194" i="1"/>
  <c r="G194" i="1"/>
  <c r="F194" i="1"/>
  <c r="E194" i="1"/>
  <c r="D194" i="1"/>
  <c r="AO193" i="1"/>
  <c r="AN193" i="1"/>
  <c r="AM193" i="1"/>
  <c r="AL193" i="1"/>
  <c r="AK193" i="1"/>
  <c r="AJ193" i="1"/>
  <c r="AI193" i="1"/>
  <c r="AG193" i="1"/>
  <c r="AE193" i="1"/>
  <c r="AD193" i="1"/>
  <c r="AB193" i="1"/>
  <c r="AA193" i="1"/>
  <c r="Z193" i="1"/>
  <c r="X193" i="1"/>
  <c r="W193" i="1"/>
  <c r="V193" i="1"/>
  <c r="S193" i="1"/>
  <c r="R193" i="1"/>
  <c r="Q193" i="1"/>
  <c r="O193" i="1"/>
  <c r="M193" i="1"/>
  <c r="L193" i="1"/>
  <c r="K193" i="1"/>
  <c r="J193" i="1"/>
  <c r="I193" i="1"/>
  <c r="H193" i="1"/>
  <c r="G193" i="1"/>
  <c r="F193" i="1"/>
  <c r="E193" i="1"/>
  <c r="D193" i="1"/>
  <c r="AO192" i="1"/>
  <c r="AN192" i="1"/>
  <c r="AM192" i="1"/>
  <c r="AL192" i="1"/>
  <c r="AK192" i="1"/>
  <c r="AJ192" i="1"/>
  <c r="AI192" i="1"/>
  <c r="AG192" i="1"/>
  <c r="AE192" i="1"/>
  <c r="AD192" i="1"/>
  <c r="AB192" i="1"/>
  <c r="AA192" i="1"/>
  <c r="Z192" i="1"/>
  <c r="X192" i="1"/>
  <c r="W192" i="1"/>
  <c r="V192" i="1"/>
  <c r="S192" i="1"/>
  <c r="R192" i="1"/>
  <c r="Q192" i="1"/>
  <c r="O192" i="1"/>
  <c r="M192" i="1"/>
  <c r="L192" i="1"/>
  <c r="K192" i="1"/>
  <c r="J192" i="1"/>
  <c r="I192" i="1"/>
  <c r="H192" i="1"/>
  <c r="G192" i="1"/>
  <c r="F192" i="1"/>
  <c r="E192" i="1"/>
  <c r="D192" i="1"/>
  <c r="AO191" i="1"/>
  <c r="AN191" i="1"/>
  <c r="AM191" i="1"/>
  <c r="AL191" i="1"/>
  <c r="AK191" i="1"/>
  <c r="AJ191" i="1"/>
  <c r="AI191" i="1"/>
  <c r="AG191" i="1"/>
  <c r="AE191" i="1"/>
  <c r="AD191" i="1"/>
  <c r="AB191" i="1"/>
  <c r="AA191" i="1"/>
  <c r="Z191" i="1"/>
  <c r="X191" i="1"/>
  <c r="W191" i="1"/>
  <c r="V191" i="1"/>
  <c r="S191" i="1"/>
  <c r="R191" i="1"/>
  <c r="Q191" i="1"/>
  <c r="O191" i="1"/>
  <c r="M191" i="1"/>
  <c r="L191" i="1"/>
  <c r="K191" i="1"/>
  <c r="J191" i="1"/>
  <c r="I191" i="1"/>
  <c r="H191" i="1"/>
  <c r="G191" i="1"/>
  <c r="F191" i="1"/>
  <c r="E191" i="1"/>
  <c r="D191" i="1"/>
  <c r="AO190" i="1"/>
  <c r="AN190" i="1"/>
  <c r="AM190" i="1"/>
  <c r="AL190" i="1"/>
  <c r="AK190" i="1"/>
  <c r="AJ190" i="1"/>
  <c r="AI190" i="1"/>
  <c r="AG190" i="1"/>
  <c r="AE190" i="1"/>
  <c r="AD190" i="1"/>
  <c r="AB190" i="1"/>
  <c r="AA190" i="1"/>
  <c r="Z190" i="1"/>
  <c r="X190" i="1"/>
  <c r="W190" i="1"/>
  <c r="V190" i="1"/>
  <c r="S190" i="1"/>
  <c r="R190" i="1"/>
  <c r="Q190" i="1"/>
  <c r="O190" i="1"/>
  <c r="M190" i="1"/>
  <c r="L190" i="1"/>
  <c r="K190" i="1"/>
  <c r="J190" i="1"/>
  <c r="I190" i="1"/>
  <c r="H190" i="1"/>
  <c r="G190" i="1"/>
  <c r="F190" i="1"/>
  <c r="E190" i="1"/>
  <c r="D190" i="1"/>
  <c r="AO189" i="1"/>
  <c r="AN189" i="1"/>
  <c r="AM189" i="1"/>
  <c r="AL189" i="1"/>
  <c r="AK189" i="1"/>
  <c r="AJ189" i="1"/>
  <c r="AI189" i="1"/>
  <c r="AG189" i="1"/>
  <c r="AE189" i="1"/>
  <c r="AD189" i="1"/>
  <c r="AB189" i="1"/>
  <c r="AA189" i="1"/>
  <c r="Z189" i="1"/>
  <c r="X189" i="1"/>
  <c r="W189" i="1"/>
  <c r="V189" i="1"/>
  <c r="S189" i="1"/>
  <c r="R189" i="1"/>
  <c r="Q189" i="1"/>
  <c r="O189" i="1"/>
  <c r="M189" i="1"/>
  <c r="L189" i="1"/>
  <c r="K189" i="1"/>
  <c r="J189" i="1"/>
  <c r="I189" i="1"/>
  <c r="H189" i="1"/>
  <c r="G189" i="1"/>
  <c r="F189" i="1"/>
  <c r="E189" i="1"/>
  <c r="D189" i="1"/>
  <c r="AO188" i="1"/>
  <c r="AN188" i="1"/>
  <c r="AM188" i="1"/>
  <c r="AL188" i="1"/>
  <c r="AK188" i="1"/>
  <c r="AJ188" i="1"/>
  <c r="AI188" i="1"/>
  <c r="AG188" i="1"/>
  <c r="AE188" i="1"/>
  <c r="AD188" i="1"/>
  <c r="AB188" i="1"/>
  <c r="AA188" i="1"/>
  <c r="Z188" i="1"/>
  <c r="X188" i="1"/>
  <c r="W188" i="1"/>
  <c r="V188" i="1"/>
  <c r="S188" i="1"/>
  <c r="R188" i="1"/>
  <c r="Q188" i="1"/>
  <c r="O188" i="1"/>
  <c r="M188" i="1"/>
  <c r="L188" i="1"/>
  <c r="K188" i="1"/>
  <c r="J188" i="1"/>
  <c r="I188" i="1"/>
  <c r="H188" i="1"/>
  <c r="G188" i="1"/>
  <c r="F188" i="1"/>
  <c r="E188" i="1"/>
  <c r="D188" i="1"/>
  <c r="AO187" i="1"/>
  <c r="AN187" i="1"/>
  <c r="AM187" i="1"/>
  <c r="AL187" i="1"/>
  <c r="AK187" i="1"/>
  <c r="AJ187" i="1"/>
  <c r="AI187" i="1"/>
  <c r="AG187" i="1"/>
  <c r="AE187" i="1"/>
  <c r="AD187" i="1"/>
  <c r="AB187" i="1"/>
  <c r="AA187" i="1"/>
  <c r="Z187" i="1"/>
  <c r="X187" i="1"/>
  <c r="W187" i="1"/>
  <c r="V187" i="1"/>
  <c r="S187" i="1"/>
  <c r="R187" i="1"/>
  <c r="Q187" i="1"/>
  <c r="O187" i="1"/>
  <c r="M187" i="1"/>
  <c r="L187" i="1"/>
  <c r="K187" i="1"/>
  <c r="J187" i="1"/>
  <c r="I187" i="1"/>
  <c r="H187" i="1"/>
  <c r="G187" i="1"/>
  <c r="F187" i="1"/>
  <c r="E187" i="1"/>
  <c r="D187" i="1"/>
  <c r="AO186" i="1"/>
  <c r="AN186" i="1"/>
  <c r="AM186" i="1"/>
  <c r="AL186" i="1"/>
  <c r="AK186" i="1"/>
  <c r="AJ186" i="1"/>
  <c r="AI186" i="1"/>
  <c r="AG186" i="1"/>
  <c r="AE186" i="1"/>
  <c r="AD186" i="1"/>
  <c r="AB186" i="1"/>
  <c r="AA186" i="1"/>
  <c r="Z186" i="1"/>
  <c r="X186" i="1"/>
  <c r="W186" i="1"/>
  <c r="V186" i="1"/>
  <c r="S186" i="1"/>
  <c r="R186" i="1"/>
  <c r="Q186" i="1"/>
  <c r="O186" i="1"/>
  <c r="M186" i="1"/>
  <c r="L186" i="1"/>
  <c r="K186" i="1"/>
  <c r="J186" i="1"/>
  <c r="I186" i="1"/>
  <c r="H186" i="1"/>
  <c r="G186" i="1"/>
  <c r="F186" i="1"/>
  <c r="E186" i="1"/>
  <c r="D186" i="1"/>
  <c r="AO185" i="1"/>
  <c r="AN185" i="1"/>
  <c r="AM185" i="1"/>
  <c r="AL185" i="1"/>
  <c r="AK185" i="1"/>
  <c r="AJ185" i="1"/>
  <c r="AI185" i="1"/>
  <c r="AG185" i="1"/>
  <c r="AE185" i="1"/>
  <c r="AD185" i="1"/>
  <c r="AB185" i="1"/>
  <c r="AA185" i="1"/>
  <c r="Z185" i="1"/>
  <c r="X185" i="1"/>
  <c r="W185" i="1"/>
  <c r="V185" i="1"/>
  <c r="S185" i="1"/>
  <c r="R185" i="1"/>
  <c r="Q185" i="1"/>
  <c r="O185" i="1"/>
  <c r="M185" i="1"/>
  <c r="L185" i="1"/>
  <c r="K185" i="1"/>
  <c r="J185" i="1"/>
  <c r="I185" i="1"/>
  <c r="H185" i="1"/>
  <c r="G185" i="1"/>
  <c r="F185" i="1"/>
  <c r="E185" i="1"/>
  <c r="D185" i="1"/>
  <c r="AO184" i="1"/>
  <c r="AN184" i="1"/>
  <c r="AM184" i="1"/>
  <c r="AL184" i="1"/>
  <c r="AK184" i="1"/>
  <c r="AJ184" i="1"/>
  <c r="AI184" i="1"/>
  <c r="AG184" i="1"/>
  <c r="AE184" i="1"/>
  <c r="AD184" i="1"/>
  <c r="AB184" i="1"/>
  <c r="AA184" i="1"/>
  <c r="Z184" i="1"/>
  <c r="X184" i="1"/>
  <c r="W184" i="1"/>
  <c r="V184" i="1"/>
  <c r="S184" i="1"/>
  <c r="R184" i="1"/>
  <c r="Q184" i="1"/>
  <c r="O184" i="1"/>
  <c r="M184" i="1"/>
  <c r="L184" i="1"/>
  <c r="K184" i="1"/>
  <c r="J184" i="1"/>
  <c r="I184" i="1"/>
  <c r="H184" i="1"/>
  <c r="G184" i="1"/>
  <c r="F184" i="1"/>
  <c r="E184" i="1"/>
  <c r="D184" i="1"/>
  <c r="AO183" i="1"/>
  <c r="AN183" i="1"/>
  <c r="AM183" i="1"/>
  <c r="AL183" i="1"/>
  <c r="AK183" i="1"/>
  <c r="AJ183" i="1"/>
  <c r="AI183" i="1"/>
  <c r="AG183" i="1"/>
  <c r="AE183" i="1"/>
  <c r="AD183" i="1"/>
  <c r="AB183" i="1"/>
  <c r="AA183" i="1"/>
  <c r="Z183" i="1"/>
  <c r="X183" i="1"/>
  <c r="W183" i="1"/>
  <c r="V183" i="1"/>
  <c r="S183" i="1"/>
  <c r="R183" i="1"/>
  <c r="Q183" i="1"/>
  <c r="O183" i="1"/>
  <c r="M183" i="1"/>
  <c r="L183" i="1"/>
  <c r="K183" i="1"/>
  <c r="J183" i="1"/>
  <c r="I183" i="1"/>
  <c r="H183" i="1"/>
  <c r="G183" i="1"/>
  <c r="F183" i="1"/>
  <c r="E183" i="1"/>
  <c r="D183" i="1"/>
  <c r="AO182" i="1"/>
  <c r="AN182" i="1"/>
  <c r="AM182" i="1"/>
  <c r="AL182" i="1"/>
  <c r="AK182" i="1"/>
  <c r="AJ182" i="1"/>
  <c r="AI182" i="1"/>
  <c r="AG182" i="1"/>
  <c r="AE182" i="1"/>
  <c r="AD182" i="1"/>
  <c r="AB182" i="1"/>
  <c r="AA182" i="1"/>
  <c r="Z182" i="1"/>
  <c r="X182" i="1"/>
  <c r="W182" i="1"/>
  <c r="V182" i="1"/>
  <c r="S182" i="1"/>
  <c r="R182" i="1"/>
  <c r="Q182" i="1"/>
  <c r="O182" i="1"/>
  <c r="M182" i="1"/>
  <c r="L182" i="1"/>
  <c r="K182" i="1"/>
  <c r="J182" i="1"/>
  <c r="I182" i="1"/>
  <c r="H182" i="1"/>
  <c r="G182" i="1"/>
  <c r="F182" i="1"/>
  <c r="E182" i="1"/>
  <c r="D182" i="1"/>
  <c r="AO181" i="1"/>
  <c r="AN181" i="1"/>
  <c r="AM181" i="1"/>
  <c r="AL181" i="1"/>
  <c r="AK181" i="1"/>
  <c r="AJ181" i="1"/>
  <c r="AI181" i="1"/>
  <c r="AG181" i="1"/>
  <c r="AE181" i="1"/>
  <c r="AD181" i="1"/>
  <c r="AB181" i="1"/>
  <c r="AA181" i="1"/>
  <c r="Z181" i="1"/>
  <c r="X181" i="1"/>
  <c r="W181" i="1"/>
  <c r="V181" i="1"/>
  <c r="S181" i="1"/>
  <c r="R181" i="1"/>
  <c r="Q181" i="1"/>
  <c r="O181" i="1"/>
  <c r="M181" i="1"/>
  <c r="L181" i="1"/>
  <c r="K181" i="1"/>
  <c r="J181" i="1"/>
  <c r="I181" i="1"/>
  <c r="H181" i="1"/>
  <c r="G181" i="1"/>
  <c r="F181" i="1"/>
  <c r="E181" i="1"/>
  <c r="D181" i="1"/>
  <c r="AO180" i="1"/>
  <c r="AN180" i="1"/>
  <c r="AM180" i="1"/>
  <c r="AL180" i="1"/>
  <c r="AK180" i="1"/>
  <c r="AJ180" i="1"/>
  <c r="AI180" i="1"/>
  <c r="AG180" i="1"/>
  <c r="AE180" i="1"/>
  <c r="AD180" i="1"/>
  <c r="AB180" i="1"/>
  <c r="AA180" i="1"/>
  <c r="Z180" i="1"/>
  <c r="X180" i="1"/>
  <c r="W180" i="1"/>
  <c r="V180" i="1"/>
  <c r="S180" i="1"/>
  <c r="R180" i="1"/>
  <c r="Q180" i="1"/>
  <c r="O180" i="1"/>
  <c r="M180" i="1"/>
  <c r="L180" i="1"/>
  <c r="K180" i="1"/>
  <c r="J180" i="1"/>
  <c r="I180" i="1"/>
  <c r="H180" i="1"/>
  <c r="G180" i="1"/>
  <c r="F180" i="1"/>
  <c r="E180" i="1"/>
  <c r="D180" i="1"/>
  <c r="AO179" i="1"/>
  <c r="AN179" i="1"/>
  <c r="AM179" i="1"/>
  <c r="AL179" i="1"/>
  <c r="AK179" i="1"/>
  <c r="AJ179" i="1"/>
  <c r="AI179" i="1"/>
  <c r="AG179" i="1"/>
  <c r="AE179" i="1"/>
  <c r="AD179" i="1"/>
  <c r="AB179" i="1"/>
  <c r="AA179" i="1"/>
  <c r="Z179" i="1"/>
  <c r="X179" i="1"/>
  <c r="W179" i="1"/>
  <c r="V179" i="1"/>
  <c r="S179" i="1"/>
  <c r="R179" i="1"/>
  <c r="Q179" i="1"/>
  <c r="O179" i="1"/>
  <c r="M179" i="1"/>
  <c r="L179" i="1"/>
  <c r="K179" i="1"/>
  <c r="J179" i="1"/>
  <c r="I179" i="1"/>
  <c r="H179" i="1"/>
  <c r="G179" i="1"/>
  <c r="F179" i="1"/>
  <c r="E179" i="1"/>
  <c r="D179" i="1"/>
  <c r="AO178" i="1"/>
  <c r="AN178" i="1"/>
  <c r="AM178" i="1"/>
  <c r="AL178" i="1"/>
  <c r="AK178" i="1"/>
  <c r="AJ178" i="1"/>
  <c r="AI178" i="1"/>
  <c r="AG178" i="1"/>
  <c r="AE178" i="1"/>
  <c r="AD178" i="1"/>
  <c r="AB178" i="1"/>
  <c r="AA178" i="1"/>
  <c r="Z178" i="1"/>
  <c r="X178" i="1"/>
  <c r="W178" i="1"/>
  <c r="V178" i="1"/>
  <c r="S178" i="1"/>
  <c r="R178" i="1"/>
  <c r="Q178" i="1"/>
  <c r="O178" i="1"/>
  <c r="M178" i="1"/>
  <c r="L178" i="1"/>
  <c r="K178" i="1"/>
  <c r="J178" i="1"/>
  <c r="I178" i="1"/>
  <c r="H178" i="1"/>
  <c r="G178" i="1"/>
  <c r="F178" i="1"/>
  <c r="E178" i="1"/>
  <c r="D178" i="1"/>
  <c r="AO177" i="1"/>
  <c r="AN177" i="1"/>
  <c r="AM177" i="1"/>
  <c r="AL177" i="1"/>
  <c r="AK177" i="1"/>
  <c r="AJ177" i="1"/>
  <c r="AI177" i="1"/>
  <c r="AG177" i="1"/>
  <c r="AE177" i="1"/>
  <c r="AD177" i="1"/>
  <c r="AB177" i="1"/>
  <c r="AA177" i="1"/>
  <c r="Z177" i="1"/>
  <c r="X177" i="1"/>
  <c r="W177" i="1"/>
  <c r="V177" i="1"/>
  <c r="S177" i="1"/>
  <c r="R177" i="1"/>
  <c r="Q177" i="1"/>
  <c r="O177" i="1"/>
  <c r="M177" i="1"/>
  <c r="L177" i="1"/>
  <c r="K177" i="1"/>
  <c r="J177" i="1"/>
  <c r="I177" i="1"/>
  <c r="H177" i="1"/>
  <c r="G177" i="1"/>
  <c r="F177" i="1"/>
  <c r="E177" i="1"/>
  <c r="D177" i="1"/>
  <c r="AO176" i="1"/>
  <c r="AN176" i="1"/>
  <c r="AM176" i="1"/>
  <c r="AL176" i="1"/>
  <c r="AK176" i="1"/>
  <c r="AJ176" i="1"/>
  <c r="AI176" i="1"/>
  <c r="AG176" i="1"/>
  <c r="AE176" i="1"/>
  <c r="AD176" i="1"/>
  <c r="AB176" i="1"/>
  <c r="AA176" i="1"/>
  <c r="Z176" i="1"/>
  <c r="X176" i="1"/>
  <c r="W176" i="1"/>
  <c r="V176" i="1"/>
  <c r="S176" i="1"/>
  <c r="R176" i="1"/>
  <c r="Q176" i="1"/>
  <c r="O176" i="1"/>
  <c r="M176" i="1"/>
  <c r="L176" i="1"/>
  <c r="K176" i="1"/>
  <c r="J176" i="1"/>
  <c r="I176" i="1"/>
  <c r="H176" i="1"/>
  <c r="G176" i="1"/>
  <c r="F176" i="1"/>
  <c r="E176" i="1"/>
  <c r="D176" i="1"/>
  <c r="AO175" i="1"/>
  <c r="AN175" i="1"/>
  <c r="AM175" i="1"/>
  <c r="AL175" i="1"/>
  <c r="AK175" i="1"/>
  <c r="AJ175" i="1"/>
  <c r="AI175" i="1"/>
  <c r="AG175" i="1"/>
  <c r="AE175" i="1"/>
  <c r="AD175" i="1"/>
  <c r="AB175" i="1"/>
  <c r="AA175" i="1"/>
  <c r="Z175" i="1"/>
  <c r="X175" i="1"/>
  <c r="W175" i="1"/>
  <c r="V175" i="1"/>
  <c r="S175" i="1"/>
  <c r="R175" i="1"/>
  <c r="Q175" i="1"/>
  <c r="O175" i="1"/>
  <c r="M175" i="1"/>
  <c r="L175" i="1"/>
  <c r="K175" i="1"/>
  <c r="J175" i="1"/>
  <c r="I175" i="1"/>
  <c r="H175" i="1"/>
  <c r="G175" i="1"/>
  <c r="F175" i="1"/>
  <c r="E175" i="1"/>
  <c r="D175" i="1"/>
  <c r="AO174" i="1"/>
  <c r="AN174" i="1"/>
  <c r="AM174" i="1"/>
  <c r="AL174" i="1"/>
  <c r="AK174" i="1"/>
  <c r="AJ174" i="1"/>
  <c r="AI174" i="1"/>
  <c r="AG174" i="1"/>
  <c r="AE174" i="1"/>
  <c r="AD174" i="1"/>
  <c r="AB174" i="1"/>
  <c r="AA174" i="1"/>
  <c r="Z174" i="1"/>
  <c r="X174" i="1"/>
  <c r="W174" i="1"/>
  <c r="V174" i="1"/>
  <c r="S174" i="1"/>
  <c r="R174" i="1"/>
  <c r="Q174" i="1"/>
  <c r="O174" i="1"/>
  <c r="M174" i="1"/>
  <c r="L174" i="1"/>
  <c r="K174" i="1"/>
  <c r="J174" i="1"/>
  <c r="I174" i="1"/>
  <c r="H174" i="1"/>
  <c r="G174" i="1"/>
  <c r="F174" i="1"/>
  <c r="E174" i="1"/>
  <c r="D174" i="1"/>
  <c r="AO173" i="1"/>
  <c r="AN173" i="1"/>
  <c r="AM173" i="1"/>
  <c r="AL173" i="1"/>
  <c r="AK173" i="1"/>
  <c r="AJ173" i="1"/>
  <c r="AI173" i="1"/>
  <c r="AG173" i="1"/>
  <c r="AE173" i="1"/>
  <c r="AD173" i="1"/>
  <c r="AB173" i="1"/>
  <c r="AA173" i="1"/>
  <c r="Z173" i="1"/>
  <c r="X173" i="1"/>
  <c r="W173" i="1"/>
  <c r="V173" i="1"/>
  <c r="S173" i="1"/>
  <c r="R173" i="1"/>
  <c r="Q173" i="1"/>
  <c r="O173" i="1"/>
  <c r="M173" i="1"/>
  <c r="L173" i="1"/>
  <c r="K173" i="1"/>
  <c r="J173" i="1"/>
  <c r="I173" i="1"/>
  <c r="H173" i="1"/>
  <c r="G173" i="1"/>
  <c r="F173" i="1"/>
  <c r="E173" i="1"/>
  <c r="D173" i="1"/>
  <c r="AO172" i="1"/>
  <c r="AN172" i="1"/>
  <c r="AM172" i="1"/>
  <c r="AL172" i="1"/>
  <c r="AK172" i="1"/>
  <c r="AJ172" i="1"/>
  <c r="AI172" i="1"/>
  <c r="AG172" i="1"/>
  <c r="AE172" i="1"/>
  <c r="AD172" i="1"/>
  <c r="AB172" i="1"/>
  <c r="AA172" i="1"/>
  <c r="Z172" i="1"/>
  <c r="X172" i="1"/>
  <c r="W172" i="1"/>
  <c r="V172" i="1"/>
  <c r="S172" i="1"/>
  <c r="R172" i="1"/>
  <c r="Q172" i="1"/>
  <c r="O172" i="1"/>
  <c r="M172" i="1"/>
  <c r="L172" i="1"/>
  <c r="K172" i="1"/>
  <c r="J172" i="1"/>
  <c r="I172" i="1"/>
  <c r="H172" i="1"/>
  <c r="G172" i="1"/>
  <c r="F172" i="1"/>
  <c r="E172" i="1"/>
  <c r="D172" i="1"/>
  <c r="AO171" i="1"/>
  <c r="AN171" i="1"/>
  <c r="AM171" i="1"/>
  <c r="AL171" i="1"/>
  <c r="AK171" i="1"/>
  <c r="AJ171" i="1"/>
  <c r="AI171" i="1"/>
  <c r="AG171" i="1"/>
  <c r="AE171" i="1"/>
  <c r="AD171" i="1"/>
  <c r="AB171" i="1"/>
  <c r="AA171" i="1"/>
  <c r="Z171" i="1"/>
  <c r="X171" i="1"/>
  <c r="W171" i="1"/>
  <c r="V171" i="1"/>
  <c r="S171" i="1"/>
  <c r="R171" i="1"/>
  <c r="Q171" i="1"/>
  <c r="O171" i="1"/>
  <c r="M171" i="1"/>
  <c r="L171" i="1"/>
  <c r="K171" i="1"/>
  <c r="J171" i="1"/>
  <c r="I171" i="1"/>
  <c r="H171" i="1"/>
  <c r="G171" i="1"/>
  <c r="F171" i="1"/>
  <c r="E171" i="1"/>
  <c r="D171" i="1"/>
  <c r="AO170" i="1"/>
  <c r="AN170" i="1"/>
  <c r="AM170" i="1"/>
  <c r="AL170" i="1"/>
  <c r="AK170" i="1"/>
  <c r="AJ170" i="1"/>
  <c r="AI170" i="1"/>
  <c r="AG170" i="1"/>
  <c r="AE170" i="1"/>
  <c r="AD170" i="1"/>
  <c r="AB170" i="1"/>
  <c r="AA170" i="1"/>
  <c r="Z170" i="1"/>
  <c r="X170" i="1"/>
  <c r="W170" i="1"/>
  <c r="V170" i="1"/>
  <c r="S170" i="1"/>
  <c r="R170" i="1"/>
  <c r="Q170" i="1"/>
  <c r="O170" i="1"/>
  <c r="M170" i="1"/>
  <c r="L170" i="1"/>
  <c r="K170" i="1"/>
  <c r="J170" i="1"/>
  <c r="I170" i="1"/>
  <c r="H170" i="1"/>
  <c r="G170" i="1"/>
  <c r="F170" i="1"/>
  <c r="E170" i="1"/>
  <c r="D170" i="1"/>
  <c r="AO169" i="1"/>
  <c r="AN169" i="1"/>
  <c r="AM169" i="1"/>
  <c r="AL169" i="1"/>
  <c r="AK169" i="1"/>
  <c r="AJ169" i="1"/>
  <c r="AI169" i="1"/>
  <c r="AG169" i="1"/>
  <c r="AE169" i="1"/>
  <c r="AD169" i="1"/>
  <c r="AB169" i="1"/>
  <c r="AA169" i="1"/>
  <c r="Z169" i="1"/>
  <c r="X169" i="1"/>
  <c r="W169" i="1"/>
  <c r="V169" i="1"/>
  <c r="S169" i="1"/>
  <c r="R169" i="1"/>
  <c r="Q169" i="1"/>
  <c r="O169" i="1"/>
  <c r="M169" i="1"/>
  <c r="L169" i="1"/>
  <c r="K169" i="1"/>
  <c r="J169" i="1"/>
  <c r="I169" i="1"/>
  <c r="H169" i="1"/>
  <c r="G169" i="1"/>
  <c r="F169" i="1"/>
  <c r="E169" i="1"/>
  <c r="D169" i="1"/>
  <c r="AO168" i="1"/>
  <c r="AN168" i="1"/>
  <c r="AM168" i="1"/>
  <c r="AL168" i="1"/>
  <c r="AK168" i="1"/>
  <c r="AJ168" i="1"/>
  <c r="AI168" i="1"/>
  <c r="AG168" i="1"/>
  <c r="AE168" i="1"/>
  <c r="AD168" i="1"/>
  <c r="AB168" i="1"/>
  <c r="AA168" i="1"/>
  <c r="Z168" i="1"/>
  <c r="X168" i="1"/>
  <c r="W168" i="1"/>
  <c r="V168" i="1"/>
  <c r="S168" i="1"/>
  <c r="R168" i="1"/>
  <c r="Q168" i="1"/>
  <c r="O168" i="1"/>
  <c r="M168" i="1"/>
  <c r="L168" i="1"/>
  <c r="K168" i="1"/>
  <c r="J168" i="1"/>
  <c r="I168" i="1"/>
  <c r="H168" i="1"/>
  <c r="G168" i="1"/>
  <c r="F168" i="1"/>
  <c r="E168" i="1"/>
  <c r="D168" i="1"/>
  <c r="AO167" i="1"/>
  <c r="AN167" i="1"/>
  <c r="AM167" i="1"/>
  <c r="AL167" i="1"/>
  <c r="AK167" i="1"/>
  <c r="AJ167" i="1"/>
  <c r="AI167" i="1"/>
  <c r="AG167" i="1"/>
  <c r="AE167" i="1"/>
  <c r="AD167" i="1"/>
  <c r="AB167" i="1"/>
  <c r="AA167" i="1"/>
  <c r="Z167" i="1"/>
  <c r="X167" i="1"/>
  <c r="W167" i="1"/>
  <c r="V167" i="1"/>
  <c r="S167" i="1"/>
  <c r="R167" i="1"/>
  <c r="Q167" i="1"/>
  <c r="O167" i="1"/>
  <c r="M167" i="1"/>
  <c r="L167" i="1"/>
  <c r="K167" i="1"/>
  <c r="J167" i="1"/>
  <c r="I167" i="1"/>
  <c r="H167" i="1"/>
  <c r="G167" i="1"/>
  <c r="F167" i="1"/>
  <c r="E167" i="1"/>
  <c r="D167" i="1"/>
  <c r="AO166" i="1"/>
  <c r="AN166" i="1"/>
  <c r="AM166" i="1"/>
  <c r="AL166" i="1"/>
  <c r="AK166" i="1"/>
  <c r="AJ166" i="1"/>
  <c r="AI166" i="1"/>
  <c r="AG166" i="1"/>
  <c r="AE166" i="1"/>
  <c r="AD166" i="1"/>
  <c r="AB166" i="1"/>
  <c r="AA166" i="1"/>
  <c r="Z166" i="1"/>
  <c r="X166" i="1"/>
  <c r="W166" i="1"/>
  <c r="V166" i="1"/>
  <c r="S166" i="1"/>
  <c r="R166" i="1"/>
  <c r="Q166" i="1"/>
  <c r="O166" i="1"/>
  <c r="M166" i="1"/>
  <c r="L166" i="1"/>
  <c r="K166" i="1"/>
  <c r="J166" i="1"/>
  <c r="I166" i="1"/>
  <c r="H166" i="1"/>
  <c r="G166" i="1"/>
  <c r="F166" i="1"/>
  <c r="E166" i="1"/>
  <c r="D166" i="1"/>
  <c r="AO165" i="1"/>
  <c r="AN165" i="1"/>
  <c r="AM165" i="1"/>
  <c r="AL165" i="1"/>
  <c r="AK165" i="1"/>
  <c r="AJ165" i="1"/>
  <c r="AI165" i="1"/>
  <c r="AG165" i="1"/>
  <c r="AE165" i="1"/>
  <c r="AD165" i="1"/>
  <c r="AB165" i="1"/>
  <c r="AA165" i="1"/>
  <c r="Z165" i="1"/>
  <c r="X165" i="1"/>
  <c r="W165" i="1"/>
  <c r="V165" i="1"/>
  <c r="S165" i="1"/>
  <c r="R165" i="1"/>
  <c r="Q165" i="1"/>
  <c r="O165" i="1"/>
  <c r="M165" i="1"/>
  <c r="L165" i="1"/>
  <c r="K165" i="1"/>
  <c r="J165" i="1"/>
  <c r="I165" i="1"/>
  <c r="H165" i="1"/>
  <c r="G165" i="1"/>
  <c r="F165" i="1"/>
  <c r="E165" i="1"/>
  <c r="D165" i="1"/>
  <c r="AO164" i="1"/>
  <c r="AN164" i="1"/>
  <c r="AM164" i="1"/>
  <c r="AL164" i="1"/>
  <c r="AK164" i="1"/>
  <c r="AJ164" i="1"/>
  <c r="AI164" i="1"/>
  <c r="AG164" i="1"/>
  <c r="AE164" i="1"/>
  <c r="AD164" i="1"/>
  <c r="AB164" i="1"/>
  <c r="AA164" i="1"/>
  <c r="Z164" i="1"/>
  <c r="X164" i="1"/>
  <c r="W164" i="1"/>
  <c r="V164" i="1"/>
  <c r="S164" i="1"/>
  <c r="R164" i="1"/>
  <c r="Q164" i="1"/>
  <c r="O164" i="1"/>
  <c r="M164" i="1"/>
  <c r="L164" i="1"/>
  <c r="K164" i="1"/>
  <c r="J164" i="1"/>
  <c r="I164" i="1"/>
  <c r="H164" i="1"/>
  <c r="G164" i="1"/>
  <c r="F164" i="1"/>
  <c r="E164" i="1"/>
  <c r="D164" i="1"/>
  <c r="AO163" i="1"/>
  <c r="AN163" i="1"/>
  <c r="AM163" i="1"/>
  <c r="AL163" i="1"/>
  <c r="AK163" i="1"/>
  <c r="AJ163" i="1"/>
  <c r="AI163" i="1"/>
  <c r="AG163" i="1"/>
  <c r="AE163" i="1"/>
  <c r="AD163" i="1"/>
  <c r="AB163" i="1"/>
  <c r="AA163" i="1"/>
  <c r="Z163" i="1"/>
  <c r="X163" i="1"/>
  <c r="W163" i="1"/>
  <c r="V163" i="1"/>
  <c r="S163" i="1"/>
  <c r="R163" i="1"/>
  <c r="Q163" i="1"/>
  <c r="O163" i="1"/>
  <c r="M163" i="1"/>
  <c r="L163" i="1"/>
  <c r="K163" i="1"/>
  <c r="J163" i="1"/>
  <c r="I163" i="1"/>
  <c r="H163" i="1"/>
  <c r="G163" i="1"/>
  <c r="F163" i="1"/>
  <c r="E163" i="1"/>
  <c r="D163" i="1"/>
  <c r="AO162" i="1"/>
  <c r="AN162" i="1"/>
  <c r="AM162" i="1"/>
  <c r="AL162" i="1"/>
  <c r="AK162" i="1"/>
  <c r="AJ162" i="1"/>
  <c r="AI162" i="1"/>
  <c r="AG162" i="1"/>
  <c r="AE162" i="1"/>
  <c r="AD162" i="1"/>
  <c r="AB162" i="1"/>
  <c r="AA162" i="1"/>
  <c r="Z162" i="1"/>
  <c r="X162" i="1"/>
  <c r="W162" i="1"/>
  <c r="V162" i="1"/>
  <c r="S162" i="1"/>
  <c r="R162" i="1"/>
  <c r="Q162" i="1"/>
  <c r="O162" i="1"/>
  <c r="M162" i="1"/>
  <c r="L162" i="1"/>
  <c r="K162" i="1"/>
  <c r="J162" i="1"/>
  <c r="I162" i="1"/>
  <c r="H162" i="1"/>
  <c r="G162" i="1"/>
  <c r="F162" i="1"/>
  <c r="E162" i="1"/>
  <c r="D162" i="1"/>
  <c r="AO161" i="1"/>
  <c r="AN161" i="1"/>
  <c r="AM161" i="1"/>
  <c r="AL161" i="1"/>
  <c r="AK161" i="1"/>
  <c r="AJ161" i="1"/>
  <c r="AI161" i="1"/>
  <c r="AG161" i="1"/>
  <c r="AE161" i="1"/>
  <c r="AD161" i="1"/>
  <c r="AB161" i="1"/>
  <c r="AA161" i="1"/>
  <c r="Z161" i="1"/>
  <c r="X161" i="1"/>
  <c r="W161" i="1"/>
  <c r="V161" i="1"/>
  <c r="S161" i="1"/>
  <c r="R161" i="1"/>
  <c r="Q161" i="1"/>
  <c r="O161" i="1"/>
  <c r="M161" i="1"/>
  <c r="L161" i="1"/>
  <c r="K161" i="1"/>
  <c r="J161" i="1"/>
  <c r="I161" i="1"/>
  <c r="H161" i="1"/>
  <c r="G161" i="1"/>
  <c r="F161" i="1"/>
  <c r="E161" i="1"/>
  <c r="D161" i="1"/>
  <c r="AO160" i="1"/>
  <c r="AN160" i="1"/>
  <c r="AM160" i="1"/>
  <c r="AL160" i="1"/>
  <c r="AK160" i="1"/>
  <c r="AJ160" i="1"/>
  <c r="AI160" i="1"/>
  <c r="AG160" i="1"/>
  <c r="AE160" i="1"/>
  <c r="AD160" i="1"/>
  <c r="AB160" i="1"/>
  <c r="AA160" i="1"/>
  <c r="Z160" i="1"/>
  <c r="X160" i="1"/>
  <c r="W160" i="1"/>
  <c r="V160" i="1"/>
  <c r="S160" i="1"/>
  <c r="R160" i="1"/>
  <c r="Q160" i="1"/>
  <c r="O160" i="1"/>
  <c r="M160" i="1"/>
  <c r="L160" i="1"/>
  <c r="K160" i="1"/>
  <c r="J160" i="1"/>
  <c r="I160" i="1"/>
  <c r="H160" i="1"/>
  <c r="G160" i="1"/>
  <c r="F160" i="1"/>
  <c r="E160" i="1"/>
  <c r="D160" i="1"/>
  <c r="AO159" i="1"/>
  <c r="AN159" i="1"/>
  <c r="AM159" i="1"/>
  <c r="AL159" i="1"/>
  <c r="AK159" i="1"/>
  <c r="AJ159" i="1"/>
  <c r="AI159" i="1"/>
  <c r="AG159" i="1"/>
  <c r="AE159" i="1"/>
  <c r="AD159" i="1"/>
  <c r="AB159" i="1"/>
  <c r="AA159" i="1"/>
  <c r="Z159" i="1"/>
  <c r="X159" i="1"/>
  <c r="W159" i="1"/>
  <c r="V159" i="1"/>
  <c r="S159" i="1"/>
  <c r="R159" i="1"/>
  <c r="Q159" i="1"/>
  <c r="O159" i="1"/>
  <c r="M159" i="1"/>
  <c r="L159" i="1"/>
  <c r="K159" i="1"/>
  <c r="J159" i="1"/>
  <c r="I159" i="1"/>
  <c r="H159" i="1"/>
  <c r="G159" i="1"/>
  <c r="F159" i="1"/>
  <c r="E159" i="1"/>
  <c r="D159" i="1"/>
  <c r="AO158" i="1"/>
  <c r="AN158" i="1"/>
  <c r="AM158" i="1"/>
  <c r="AL158" i="1"/>
  <c r="AK158" i="1"/>
  <c r="AJ158" i="1"/>
  <c r="AI158" i="1"/>
  <c r="AG158" i="1"/>
  <c r="AE158" i="1"/>
  <c r="AD158" i="1"/>
  <c r="AB158" i="1"/>
  <c r="AA158" i="1"/>
  <c r="Z158" i="1"/>
  <c r="X158" i="1"/>
  <c r="W158" i="1"/>
  <c r="V158" i="1"/>
  <c r="S158" i="1"/>
  <c r="R158" i="1"/>
  <c r="Q158" i="1"/>
  <c r="O158" i="1"/>
  <c r="M158" i="1"/>
  <c r="L158" i="1"/>
  <c r="K158" i="1"/>
  <c r="J158" i="1"/>
  <c r="I158" i="1"/>
  <c r="H158" i="1"/>
  <c r="G158" i="1"/>
  <c r="F158" i="1"/>
  <c r="E158" i="1"/>
  <c r="D158" i="1"/>
  <c r="AO157" i="1"/>
  <c r="AN157" i="1"/>
  <c r="AM157" i="1"/>
  <c r="AL157" i="1"/>
  <c r="AK157" i="1"/>
  <c r="AJ157" i="1"/>
  <c r="AI157" i="1"/>
  <c r="AG157" i="1"/>
  <c r="AE157" i="1"/>
  <c r="AD157" i="1"/>
  <c r="AB157" i="1"/>
  <c r="AA157" i="1"/>
  <c r="Z157" i="1"/>
  <c r="X157" i="1"/>
  <c r="W157" i="1"/>
  <c r="V157" i="1"/>
  <c r="S157" i="1"/>
  <c r="R157" i="1"/>
  <c r="Q157" i="1"/>
  <c r="O157" i="1"/>
  <c r="M157" i="1"/>
  <c r="L157" i="1"/>
  <c r="K157" i="1"/>
  <c r="J157" i="1"/>
  <c r="I157" i="1"/>
  <c r="H157" i="1"/>
  <c r="G157" i="1"/>
  <c r="F157" i="1"/>
  <c r="E157" i="1"/>
  <c r="D157" i="1"/>
  <c r="AO156" i="1"/>
  <c r="AN156" i="1"/>
  <c r="AM156" i="1"/>
  <c r="AL156" i="1"/>
  <c r="AK156" i="1"/>
  <c r="AJ156" i="1"/>
  <c r="AI156" i="1"/>
  <c r="AG156" i="1"/>
  <c r="AE156" i="1"/>
  <c r="AD156" i="1"/>
  <c r="AB156" i="1"/>
  <c r="AA156" i="1"/>
  <c r="Z156" i="1"/>
  <c r="X156" i="1"/>
  <c r="W156" i="1"/>
  <c r="V156" i="1"/>
  <c r="S156" i="1"/>
  <c r="R156" i="1"/>
  <c r="Q156" i="1"/>
  <c r="O156" i="1"/>
  <c r="M156" i="1"/>
  <c r="L156" i="1"/>
  <c r="K156" i="1"/>
  <c r="J156" i="1"/>
  <c r="I156" i="1"/>
  <c r="H156" i="1"/>
  <c r="G156" i="1"/>
  <c r="F156" i="1"/>
  <c r="E156" i="1"/>
  <c r="D156" i="1"/>
  <c r="AO155" i="1"/>
  <c r="AN155" i="1"/>
  <c r="AM155" i="1"/>
  <c r="AL155" i="1"/>
  <c r="AK155" i="1"/>
  <c r="AJ155" i="1"/>
  <c r="AI155" i="1"/>
  <c r="AG155" i="1"/>
  <c r="AE155" i="1"/>
  <c r="AD155" i="1"/>
  <c r="AB155" i="1"/>
  <c r="AA155" i="1"/>
  <c r="Z155" i="1"/>
  <c r="X155" i="1"/>
  <c r="W155" i="1"/>
  <c r="V155" i="1"/>
  <c r="S155" i="1"/>
  <c r="R155" i="1"/>
  <c r="Q155" i="1"/>
  <c r="O155" i="1"/>
  <c r="M155" i="1"/>
  <c r="L155" i="1"/>
  <c r="K155" i="1"/>
  <c r="J155" i="1"/>
  <c r="I155" i="1"/>
  <c r="H155" i="1"/>
  <c r="G155" i="1"/>
  <c r="F155" i="1"/>
  <c r="E155" i="1"/>
  <c r="D155" i="1"/>
  <c r="AO154" i="1"/>
  <c r="AN154" i="1"/>
  <c r="AM154" i="1"/>
  <c r="AL154" i="1"/>
  <c r="AK154" i="1"/>
  <c r="AJ154" i="1"/>
  <c r="AI154" i="1"/>
  <c r="AG154" i="1"/>
  <c r="AE154" i="1"/>
  <c r="AD154" i="1"/>
  <c r="AB154" i="1"/>
  <c r="AA154" i="1"/>
  <c r="Z154" i="1"/>
  <c r="X154" i="1"/>
  <c r="W154" i="1"/>
  <c r="V154" i="1"/>
  <c r="S154" i="1"/>
  <c r="R154" i="1"/>
  <c r="Q154" i="1"/>
  <c r="O154" i="1"/>
  <c r="M154" i="1"/>
  <c r="L154" i="1"/>
  <c r="K154" i="1"/>
  <c r="J154" i="1"/>
  <c r="I154" i="1"/>
  <c r="H154" i="1"/>
  <c r="G154" i="1"/>
  <c r="F154" i="1"/>
  <c r="E154" i="1"/>
  <c r="D154" i="1"/>
  <c r="AO153" i="1"/>
  <c r="AN153" i="1"/>
  <c r="AM153" i="1"/>
  <c r="AL153" i="1"/>
  <c r="AK153" i="1"/>
  <c r="AJ153" i="1"/>
  <c r="AI153" i="1"/>
  <c r="AG153" i="1"/>
  <c r="AE153" i="1"/>
  <c r="AD153" i="1"/>
  <c r="AB153" i="1"/>
  <c r="AA153" i="1"/>
  <c r="Z153" i="1"/>
  <c r="X153" i="1"/>
  <c r="W153" i="1"/>
  <c r="V153" i="1"/>
  <c r="S153" i="1"/>
  <c r="R153" i="1"/>
  <c r="Q153" i="1"/>
  <c r="O153" i="1"/>
  <c r="M153" i="1"/>
  <c r="L153" i="1"/>
  <c r="K153" i="1"/>
  <c r="J153" i="1"/>
  <c r="I153" i="1"/>
  <c r="H153" i="1"/>
  <c r="G153" i="1"/>
  <c r="F153" i="1"/>
  <c r="E153" i="1"/>
  <c r="D153" i="1"/>
  <c r="AO152" i="1"/>
  <c r="AN152" i="1"/>
  <c r="AM152" i="1"/>
  <c r="AL152" i="1"/>
  <c r="AK152" i="1"/>
  <c r="AJ152" i="1"/>
  <c r="AI152" i="1"/>
  <c r="AG152" i="1"/>
  <c r="AE152" i="1"/>
  <c r="AD152" i="1"/>
  <c r="AB152" i="1"/>
  <c r="AA152" i="1"/>
  <c r="Z152" i="1"/>
  <c r="X152" i="1"/>
  <c r="W152" i="1"/>
  <c r="V152" i="1"/>
  <c r="S152" i="1"/>
  <c r="R152" i="1"/>
  <c r="Q152" i="1"/>
  <c r="O152" i="1"/>
  <c r="M152" i="1"/>
  <c r="L152" i="1"/>
  <c r="K152" i="1"/>
  <c r="J152" i="1"/>
  <c r="I152" i="1"/>
  <c r="H152" i="1"/>
  <c r="G152" i="1"/>
  <c r="F152" i="1"/>
  <c r="E152" i="1"/>
  <c r="D152" i="1"/>
  <c r="AO151" i="1"/>
  <c r="AN151" i="1"/>
  <c r="AM151" i="1"/>
  <c r="AL151" i="1"/>
  <c r="AK151" i="1"/>
  <c r="AJ151" i="1"/>
  <c r="AI151" i="1"/>
  <c r="AG151" i="1"/>
  <c r="AE151" i="1"/>
  <c r="AD151" i="1"/>
  <c r="AB151" i="1"/>
  <c r="AA151" i="1"/>
  <c r="Z151" i="1"/>
  <c r="X151" i="1"/>
  <c r="W151" i="1"/>
  <c r="V151" i="1"/>
  <c r="S151" i="1"/>
  <c r="R151" i="1"/>
  <c r="Q151" i="1"/>
  <c r="O151" i="1"/>
  <c r="M151" i="1"/>
  <c r="L151" i="1"/>
  <c r="K151" i="1"/>
  <c r="J151" i="1"/>
  <c r="I151" i="1"/>
  <c r="H151" i="1"/>
  <c r="G151" i="1"/>
  <c r="F151" i="1"/>
  <c r="E151" i="1"/>
  <c r="D151" i="1"/>
  <c r="AO150" i="1"/>
  <c r="AN150" i="1"/>
  <c r="AM150" i="1"/>
  <c r="AL150" i="1"/>
  <c r="AK150" i="1"/>
  <c r="AJ150" i="1"/>
  <c r="AI150" i="1"/>
  <c r="AG150" i="1"/>
  <c r="AE150" i="1"/>
  <c r="AD150" i="1"/>
  <c r="AB150" i="1"/>
  <c r="AA150" i="1"/>
  <c r="Z150" i="1"/>
  <c r="X150" i="1"/>
  <c r="W150" i="1"/>
  <c r="V150" i="1"/>
  <c r="S150" i="1"/>
  <c r="R150" i="1"/>
  <c r="Q150" i="1"/>
  <c r="O150" i="1"/>
  <c r="M150" i="1"/>
  <c r="L150" i="1"/>
  <c r="K150" i="1"/>
  <c r="J150" i="1"/>
  <c r="I150" i="1"/>
  <c r="H150" i="1"/>
  <c r="G150" i="1"/>
  <c r="F150" i="1"/>
  <c r="E150" i="1"/>
  <c r="D150" i="1"/>
  <c r="AO149" i="1"/>
  <c r="AN149" i="1"/>
  <c r="AM149" i="1"/>
  <c r="AL149" i="1"/>
  <c r="AK149" i="1"/>
  <c r="AJ149" i="1"/>
  <c r="AI149" i="1"/>
  <c r="AG149" i="1"/>
  <c r="AE149" i="1"/>
  <c r="AD149" i="1"/>
  <c r="AB149" i="1"/>
  <c r="AA149" i="1"/>
  <c r="Z149" i="1"/>
  <c r="X149" i="1"/>
  <c r="W149" i="1"/>
  <c r="V149" i="1"/>
  <c r="S149" i="1"/>
  <c r="R149" i="1"/>
  <c r="Q149" i="1"/>
  <c r="O149" i="1"/>
  <c r="M149" i="1"/>
  <c r="L149" i="1"/>
  <c r="K149" i="1"/>
  <c r="J149" i="1"/>
  <c r="I149" i="1"/>
  <c r="H149" i="1"/>
  <c r="G149" i="1"/>
  <c r="F149" i="1"/>
  <c r="E149" i="1"/>
  <c r="D149" i="1"/>
  <c r="AO148" i="1"/>
  <c r="AN148" i="1"/>
  <c r="AM148" i="1"/>
  <c r="AL148" i="1"/>
  <c r="AK148" i="1"/>
  <c r="AJ148" i="1"/>
  <c r="AI148" i="1"/>
  <c r="AG148" i="1"/>
  <c r="AE148" i="1"/>
  <c r="AD148" i="1"/>
  <c r="AB148" i="1"/>
  <c r="AA148" i="1"/>
  <c r="Z148" i="1"/>
  <c r="X148" i="1"/>
  <c r="W148" i="1"/>
  <c r="V148" i="1"/>
  <c r="S148" i="1"/>
  <c r="R148" i="1"/>
  <c r="Q148" i="1"/>
  <c r="O148" i="1"/>
  <c r="M148" i="1"/>
  <c r="L148" i="1"/>
  <c r="K148" i="1"/>
  <c r="J148" i="1"/>
  <c r="I148" i="1"/>
  <c r="H148" i="1"/>
  <c r="G148" i="1"/>
  <c r="F148" i="1"/>
  <c r="E148" i="1"/>
  <c r="D148" i="1"/>
  <c r="AO147" i="1"/>
  <c r="AN147" i="1"/>
  <c r="AM147" i="1"/>
  <c r="AL147" i="1"/>
  <c r="AK147" i="1"/>
  <c r="AJ147" i="1"/>
  <c r="AI147" i="1"/>
  <c r="AG147" i="1"/>
  <c r="AE147" i="1"/>
  <c r="AD147" i="1"/>
  <c r="AB147" i="1"/>
  <c r="AA147" i="1"/>
  <c r="Z147" i="1"/>
  <c r="X147" i="1"/>
  <c r="W147" i="1"/>
  <c r="V147" i="1"/>
  <c r="S147" i="1"/>
  <c r="R147" i="1"/>
  <c r="Q147" i="1"/>
  <c r="O147" i="1"/>
  <c r="M147" i="1"/>
  <c r="L147" i="1"/>
  <c r="K147" i="1"/>
  <c r="J147" i="1"/>
  <c r="I147" i="1"/>
  <c r="H147" i="1"/>
  <c r="G147" i="1"/>
  <c r="F147" i="1"/>
  <c r="E147" i="1"/>
  <c r="D147" i="1"/>
  <c r="AO146" i="1"/>
  <c r="AN146" i="1"/>
  <c r="AM146" i="1"/>
  <c r="AL146" i="1"/>
  <c r="AK146" i="1"/>
  <c r="AJ146" i="1"/>
  <c r="AI146" i="1"/>
  <c r="AG146" i="1"/>
  <c r="AE146" i="1"/>
  <c r="AD146" i="1"/>
  <c r="AB146" i="1"/>
  <c r="AA146" i="1"/>
  <c r="Z146" i="1"/>
  <c r="X146" i="1"/>
  <c r="W146" i="1"/>
  <c r="V146" i="1"/>
  <c r="S146" i="1"/>
  <c r="R146" i="1"/>
  <c r="Q146" i="1"/>
  <c r="O146" i="1"/>
  <c r="M146" i="1"/>
  <c r="L146" i="1"/>
  <c r="K146" i="1"/>
  <c r="J146" i="1"/>
  <c r="I146" i="1"/>
  <c r="H146" i="1"/>
  <c r="G146" i="1"/>
  <c r="F146" i="1"/>
  <c r="E146" i="1"/>
  <c r="D146" i="1"/>
  <c r="AO145" i="1"/>
  <c r="AN145" i="1"/>
  <c r="AM145" i="1"/>
  <c r="AL145" i="1"/>
  <c r="AK145" i="1"/>
  <c r="AJ145" i="1"/>
  <c r="AI145" i="1"/>
  <c r="AG145" i="1"/>
  <c r="AE145" i="1"/>
  <c r="AD145" i="1"/>
  <c r="AB145" i="1"/>
  <c r="AA145" i="1"/>
  <c r="Z145" i="1"/>
  <c r="X145" i="1"/>
  <c r="W145" i="1"/>
  <c r="V145" i="1"/>
  <c r="S145" i="1"/>
  <c r="R145" i="1"/>
  <c r="Q145" i="1"/>
  <c r="O145" i="1"/>
  <c r="M145" i="1"/>
  <c r="L145" i="1"/>
  <c r="K145" i="1"/>
  <c r="J145" i="1"/>
  <c r="I145" i="1"/>
  <c r="H145" i="1"/>
  <c r="G145" i="1"/>
  <c r="F145" i="1"/>
  <c r="E145" i="1"/>
  <c r="D145" i="1"/>
  <c r="AO144" i="1"/>
  <c r="AN144" i="1"/>
  <c r="AM144" i="1"/>
  <c r="AL144" i="1"/>
  <c r="AK144" i="1"/>
  <c r="AJ144" i="1"/>
  <c r="AI144" i="1"/>
  <c r="AG144" i="1"/>
  <c r="AE144" i="1"/>
  <c r="AD144" i="1"/>
  <c r="AB144" i="1"/>
  <c r="AA144" i="1"/>
  <c r="Z144" i="1"/>
  <c r="X144" i="1"/>
  <c r="W144" i="1"/>
  <c r="V144" i="1"/>
  <c r="S144" i="1"/>
  <c r="R144" i="1"/>
  <c r="Q144" i="1"/>
  <c r="O144" i="1"/>
  <c r="M144" i="1"/>
  <c r="L144" i="1"/>
  <c r="K144" i="1"/>
  <c r="J144" i="1"/>
  <c r="I144" i="1"/>
  <c r="H144" i="1"/>
  <c r="G144" i="1"/>
  <c r="F144" i="1"/>
  <c r="E144" i="1"/>
  <c r="D144" i="1"/>
  <c r="AO143" i="1"/>
  <c r="AN143" i="1"/>
  <c r="AM143" i="1"/>
  <c r="AL143" i="1"/>
  <c r="AK143" i="1"/>
  <c r="AJ143" i="1"/>
  <c r="AI143" i="1"/>
  <c r="AG143" i="1"/>
  <c r="AE143" i="1"/>
  <c r="AD143" i="1"/>
  <c r="AB143" i="1"/>
  <c r="AA143" i="1"/>
  <c r="Z143" i="1"/>
  <c r="X143" i="1"/>
  <c r="W143" i="1"/>
  <c r="V143" i="1"/>
  <c r="S143" i="1"/>
  <c r="R143" i="1"/>
  <c r="Q143" i="1"/>
  <c r="O143" i="1"/>
  <c r="M143" i="1"/>
  <c r="L143" i="1"/>
  <c r="K143" i="1"/>
  <c r="J143" i="1"/>
  <c r="I143" i="1"/>
  <c r="H143" i="1"/>
  <c r="G143" i="1"/>
  <c r="F143" i="1"/>
  <c r="E143" i="1"/>
  <c r="D143" i="1"/>
  <c r="AO142" i="1"/>
  <c r="AN142" i="1"/>
  <c r="AM142" i="1"/>
  <c r="AL142" i="1"/>
  <c r="AK142" i="1"/>
  <c r="AJ142" i="1"/>
  <c r="AI142" i="1"/>
  <c r="AG142" i="1"/>
  <c r="AE142" i="1"/>
  <c r="AD142" i="1"/>
  <c r="AB142" i="1"/>
  <c r="AA142" i="1"/>
  <c r="Z142" i="1"/>
  <c r="X142" i="1"/>
  <c r="W142" i="1"/>
  <c r="V142" i="1"/>
  <c r="S142" i="1"/>
  <c r="R142" i="1"/>
  <c r="Q142" i="1"/>
  <c r="O142" i="1"/>
  <c r="M142" i="1"/>
  <c r="L142" i="1"/>
  <c r="K142" i="1"/>
  <c r="J142" i="1"/>
  <c r="I142" i="1"/>
  <c r="H142" i="1"/>
  <c r="G142" i="1"/>
  <c r="F142" i="1"/>
  <c r="E142" i="1"/>
  <c r="D142" i="1"/>
  <c r="AO141" i="1"/>
  <c r="AN141" i="1"/>
  <c r="AM141" i="1"/>
  <c r="AL141" i="1"/>
  <c r="AK141" i="1"/>
  <c r="AJ141" i="1"/>
  <c r="AI141" i="1"/>
  <c r="AG141" i="1"/>
  <c r="AE141" i="1"/>
  <c r="AD141" i="1"/>
  <c r="AB141" i="1"/>
  <c r="AA141" i="1"/>
  <c r="Z141" i="1"/>
  <c r="X141" i="1"/>
  <c r="W141" i="1"/>
  <c r="V141" i="1"/>
  <c r="S141" i="1"/>
  <c r="R141" i="1"/>
  <c r="Q141" i="1"/>
  <c r="O141" i="1"/>
  <c r="M141" i="1"/>
  <c r="L141" i="1"/>
  <c r="K141" i="1"/>
  <c r="J141" i="1"/>
  <c r="I141" i="1"/>
  <c r="H141" i="1"/>
  <c r="G141" i="1"/>
  <c r="F141" i="1"/>
  <c r="E141" i="1"/>
  <c r="D141" i="1"/>
  <c r="AO140" i="1"/>
  <c r="AN140" i="1"/>
  <c r="AM140" i="1"/>
  <c r="AL140" i="1"/>
  <c r="AK140" i="1"/>
  <c r="AJ140" i="1"/>
  <c r="AI140" i="1"/>
  <c r="AG140" i="1"/>
  <c r="AE140" i="1"/>
  <c r="AD140" i="1"/>
  <c r="AB140" i="1"/>
  <c r="AA140" i="1"/>
  <c r="Z140" i="1"/>
  <c r="X140" i="1"/>
  <c r="W140" i="1"/>
  <c r="V140" i="1"/>
  <c r="S140" i="1"/>
  <c r="R140" i="1"/>
  <c r="Q140" i="1"/>
  <c r="O140" i="1"/>
  <c r="M140" i="1"/>
  <c r="L140" i="1"/>
  <c r="K140" i="1"/>
  <c r="J140" i="1"/>
  <c r="I140" i="1"/>
  <c r="H140" i="1"/>
  <c r="G140" i="1"/>
  <c r="F140" i="1"/>
  <c r="E140" i="1"/>
  <c r="D140" i="1"/>
  <c r="AO139" i="1"/>
  <c r="AN139" i="1"/>
  <c r="AM139" i="1"/>
  <c r="AL139" i="1"/>
  <c r="AK139" i="1"/>
  <c r="AJ139" i="1"/>
  <c r="AI139" i="1"/>
  <c r="AG139" i="1"/>
  <c r="AE139" i="1"/>
  <c r="AD139" i="1"/>
  <c r="AB139" i="1"/>
  <c r="AA139" i="1"/>
  <c r="Z139" i="1"/>
  <c r="X139" i="1"/>
  <c r="W139" i="1"/>
  <c r="V139" i="1"/>
  <c r="S139" i="1"/>
  <c r="R139" i="1"/>
  <c r="Q139" i="1"/>
  <c r="O139" i="1"/>
  <c r="M139" i="1"/>
  <c r="L139" i="1"/>
  <c r="K139" i="1"/>
  <c r="J139" i="1"/>
  <c r="I139" i="1"/>
  <c r="H139" i="1"/>
  <c r="G139" i="1"/>
  <c r="F139" i="1"/>
  <c r="E139" i="1"/>
  <c r="D139" i="1"/>
  <c r="AO138" i="1"/>
  <c r="AN138" i="1"/>
  <c r="AM138" i="1"/>
  <c r="AL138" i="1"/>
  <c r="AK138" i="1"/>
  <c r="AJ138" i="1"/>
  <c r="AI138" i="1"/>
  <c r="AG138" i="1"/>
  <c r="AE138" i="1"/>
  <c r="AD138" i="1"/>
  <c r="AB138" i="1"/>
  <c r="AA138" i="1"/>
  <c r="Z138" i="1"/>
  <c r="X138" i="1"/>
  <c r="W138" i="1"/>
  <c r="V138" i="1"/>
  <c r="S138" i="1"/>
  <c r="R138" i="1"/>
  <c r="Q138" i="1"/>
  <c r="O138" i="1"/>
  <c r="M138" i="1"/>
  <c r="L138" i="1"/>
  <c r="K138" i="1"/>
  <c r="J138" i="1"/>
  <c r="I138" i="1"/>
  <c r="H138" i="1"/>
  <c r="G138" i="1"/>
  <c r="F138" i="1"/>
  <c r="E138" i="1"/>
  <c r="D138" i="1"/>
  <c r="AO137" i="1"/>
  <c r="AN137" i="1"/>
  <c r="AM137" i="1"/>
  <c r="AL137" i="1"/>
  <c r="AK137" i="1"/>
  <c r="AJ137" i="1"/>
  <c r="AI137" i="1"/>
  <c r="AG137" i="1"/>
  <c r="AE137" i="1"/>
  <c r="AD137" i="1"/>
  <c r="AB137" i="1"/>
  <c r="AA137" i="1"/>
  <c r="Z137" i="1"/>
  <c r="X137" i="1"/>
  <c r="W137" i="1"/>
  <c r="V137" i="1"/>
  <c r="S137" i="1"/>
  <c r="R137" i="1"/>
  <c r="Q137" i="1"/>
  <c r="O137" i="1"/>
  <c r="M137" i="1"/>
  <c r="L137" i="1"/>
  <c r="K137" i="1"/>
  <c r="J137" i="1"/>
  <c r="I137" i="1"/>
  <c r="H137" i="1"/>
  <c r="G137" i="1"/>
  <c r="F137" i="1"/>
  <c r="E137" i="1"/>
  <c r="D137" i="1"/>
  <c r="AO136" i="1"/>
  <c r="AN136" i="1"/>
  <c r="AM136" i="1"/>
  <c r="AL136" i="1"/>
  <c r="AK136" i="1"/>
  <c r="AJ136" i="1"/>
  <c r="AI136" i="1"/>
  <c r="AG136" i="1"/>
  <c r="AE136" i="1"/>
  <c r="AD136" i="1"/>
  <c r="AB136" i="1"/>
  <c r="AA136" i="1"/>
  <c r="Z136" i="1"/>
  <c r="X136" i="1"/>
  <c r="W136" i="1"/>
  <c r="V136" i="1"/>
  <c r="S136" i="1"/>
  <c r="R136" i="1"/>
  <c r="Q136" i="1"/>
  <c r="O136" i="1"/>
  <c r="M136" i="1"/>
  <c r="L136" i="1"/>
  <c r="K136" i="1"/>
  <c r="J136" i="1"/>
  <c r="I136" i="1"/>
  <c r="H136" i="1"/>
  <c r="G136" i="1"/>
  <c r="F136" i="1"/>
  <c r="E136" i="1"/>
  <c r="D136" i="1"/>
  <c r="AO135" i="1"/>
  <c r="AN135" i="1"/>
  <c r="AM135" i="1"/>
  <c r="AL135" i="1"/>
  <c r="AK135" i="1"/>
  <c r="AJ135" i="1"/>
  <c r="AI135" i="1"/>
  <c r="AG135" i="1"/>
  <c r="AE135" i="1"/>
  <c r="AD135" i="1"/>
  <c r="AB135" i="1"/>
  <c r="AA135" i="1"/>
  <c r="Z135" i="1"/>
  <c r="X135" i="1"/>
  <c r="W135" i="1"/>
  <c r="V135" i="1"/>
  <c r="S135" i="1"/>
  <c r="R135" i="1"/>
  <c r="Q135" i="1"/>
  <c r="O135" i="1"/>
  <c r="M135" i="1"/>
  <c r="L135" i="1"/>
  <c r="K135" i="1"/>
  <c r="J135" i="1"/>
  <c r="I135" i="1"/>
  <c r="H135" i="1"/>
  <c r="G135" i="1"/>
  <c r="F135" i="1"/>
  <c r="E135" i="1"/>
  <c r="D135" i="1"/>
  <c r="AO134" i="1"/>
  <c r="AN134" i="1"/>
  <c r="AM134" i="1"/>
  <c r="AL134" i="1"/>
  <c r="AK134" i="1"/>
  <c r="AJ134" i="1"/>
  <c r="AI134" i="1"/>
  <c r="AG134" i="1"/>
  <c r="AE134" i="1"/>
  <c r="AD134" i="1"/>
  <c r="AB134" i="1"/>
  <c r="AA134" i="1"/>
  <c r="Z134" i="1"/>
  <c r="X134" i="1"/>
  <c r="W134" i="1"/>
  <c r="V134" i="1"/>
  <c r="S134" i="1"/>
  <c r="R134" i="1"/>
  <c r="Q134" i="1"/>
  <c r="O134" i="1"/>
  <c r="M134" i="1"/>
  <c r="L134" i="1"/>
  <c r="K134" i="1"/>
  <c r="J134" i="1"/>
  <c r="I134" i="1"/>
  <c r="H134" i="1"/>
  <c r="G134" i="1"/>
  <c r="F134" i="1"/>
  <c r="E134" i="1"/>
  <c r="D134" i="1"/>
  <c r="AO133" i="1"/>
  <c r="AN133" i="1"/>
  <c r="AM133" i="1"/>
  <c r="AL133" i="1"/>
  <c r="AK133" i="1"/>
  <c r="AJ133" i="1"/>
  <c r="AI133" i="1"/>
  <c r="AG133" i="1"/>
  <c r="AE133" i="1"/>
  <c r="AD133" i="1"/>
  <c r="AB133" i="1"/>
  <c r="AA133" i="1"/>
  <c r="Z133" i="1"/>
  <c r="X133" i="1"/>
  <c r="W133" i="1"/>
  <c r="V133" i="1"/>
  <c r="S133" i="1"/>
  <c r="R133" i="1"/>
  <c r="Q133" i="1"/>
  <c r="O133" i="1"/>
  <c r="M133" i="1"/>
  <c r="L133" i="1"/>
  <c r="K133" i="1"/>
  <c r="J133" i="1"/>
  <c r="I133" i="1"/>
  <c r="H133" i="1"/>
  <c r="G133" i="1"/>
  <c r="F133" i="1"/>
  <c r="E133" i="1"/>
  <c r="D133" i="1"/>
  <c r="AO132" i="1"/>
  <c r="AN132" i="1"/>
  <c r="AM132" i="1"/>
  <c r="AL132" i="1"/>
  <c r="AK132" i="1"/>
  <c r="AJ132" i="1"/>
  <c r="AI132" i="1"/>
  <c r="AG132" i="1"/>
  <c r="AE132" i="1"/>
  <c r="AD132" i="1"/>
  <c r="AB132" i="1"/>
  <c r="AA132" i="1"/>
  <c r="Z132" i="1"/>
  <c r="X132" i="1"/>
  <c r="W132" i="1"/>
  <c r="V132" i="1"/>
  <c r="S132" i="1"/>
  <c r="R132" i="1"/>
  <c r="Q132" i="1"/>
  <c r="O132" i="1"/>
  <c r="M132" i="1"/>
  <c r="L132" i="1"/>
  <c r="K132" i="1"/>
  <c r="J132" i="1"/>
  <c r="I132" i="1"/>
  <c r="H132" i="1"/>
  <c r="G132" i="1"/>
  <c r="F132" i="1"/>
  <c r="E132" i="1"/>
  <c r="D132" i="1"/>
  <c r="AO131" i="1"/>
  <c r="AN131" i="1"/>
  <c r="AM131" i="1"/>
  <c r="AL131" i="1"/>
  <c r="AK131" i="1"/>
  <c r="AJ131" i="1"/>
  <c r="AI131" i="1"/>
  <c r="AG131" i="1"/>
  <c r="AE131" i="1"/>
  <c r="AD131" i="1"/>
  <c r="AB131" i="1"/>
  <c r="AA131" i="1"/>
  <c r="Z131" i="1"/>
  <c r="X131" i="1"/>
  <c r="W131" i="1"/>
  <c r="V131" i="1"/>
  <c r="S131" i="1"/>
  <c r="R131" i="1"/>
  <c r="Q131" i="1"/>
  <c r="O131" i="1"/>
  <c r="M131" i="1"/>
  <c r="L131" i="1"/>
  <c r="K131" i="1"/>
  <c r="J131" i="1"/>
  <c r="I131" i="1"/>
  <c r="H131" i="1"/>
  <c r="G131" i="1"/>
  <c r="F131" i="1"/>
  <c r="E131" i="1"/>
  <c r="D131" i="1"/>
  <c r="AO130" i="1"/>
  <c r="AN130" i="1"/>
  <c r="AM130" i="1"/>
  <c r="AL130" i="1"/>
  <c r="AK130" i="1"/>
  <c r="AJ130" i="1"/>
  <c r="AI130" i="1"/>
  <c r="AG130" i="1"/>
  <c r="AE130" i="1"/>
  <c r="AD130" i="1"/>
  <c r="AB130" i="1"/>
  <c r="AA130" i="1"/>
  <c r="Z130" i="1"/>
  <c r="X130" i="1"/>
  <c r="W130" i="1"/>
  <c r="V130" i="1"/>
  <c r="S130" i="1"/>
  <c r="R130" i="1"/>
  <c r="Q130" i="1"/>
  <c r="O130" i="1"/>
  <c r="M130" i="1"/>
  <c r="L130" i="1"/>
  <c r="K130" i="1"/>
  <c r="J130" i="1"/>
  <c r="I130" i="1"/>
  <c r="H130" i="1"/>
  <c r="G130" i="1"/>
  <c r="F130" i="1"/>
  <c r="E130" i="1"/>
  <c r="D130" i="1"/>
  <c r="AO129" i="1"/>
  <c r="AN129" i="1"/>
  <c r="AM129" i="1"/>
  <c r="AL129" i="1"/>
  <c r="AK129" i="1"/>
  <c r="AJ129" i="1"/>
  <c r="AI129" i="1"/>
  <c r="AG129" i="1"/>
  <c r="AE129" i="1"/>
  <c r="AD129" i="1"/>
  <c r="AB129" i="1"/>
  <c r="AA129" i="1"/>
  <c r="Z129" i="1"/>
  <c r="X129" i="1"/>
  <c r="W129" i="1"/>
  <c r="V129" i="1"/>
  <c r="S129" i="1"/>
  <c r="R129" i="1"/>
  <c r="Q129" i="1"/>
  <c r="O129" i="1"/>
  <c r="M129" i="1"/>
  <c r="L129" i="1"/>
  <c r="K129" i="1"/>
  <c r="J129" i="1"/>
  <c r="I129" i="1"/>
  <c r="H129" i="1"/>
  <c r="G129" i="1"/>
  <c r="F129" i="1"/>
  <c r="E129" i="1"/>
  <c r="D129" i="1"/>
  <c r="AO128" i="1"/>
  <c r="AN128" i="1"/>
  <c r="AM128" i="1"/>
  <c r="AL128" i="1"/>
  <c r="AK128" i="1"/>
  <c r="AJ128" i="1"/>
  <c r="AI128" i="1"/>
  <c r="AG128" i="1"/>
  <c r="AE128" i="1"/>
  <c r="AD128" i="1"/>
  <c r="AB128" i="1"/>
  <c r="AA128" i="1"/>
  <c r="Z128" i="1"/>
  <c r="X128" i="1"/>
  <c r="W128" i="1"/>
  <c r="V128" i="1"/>
  <c r="S128" i="1"/>
  <c r="R128" i="1"/>
  <c r="Q128" i="1"/>
  <c r="O128" i="1"/>
  <c r="M128" i="1"/>
  <c r="L128" i="1"/>
  <c r="K128" i="1"/>
  <c r="J128" i="1"/>
  <c r="I128" i="1"/>
  <c r="H128" i="1"/>
  <c r="G128" i="1"/>
  <c r="F128" i="1"/>
  <c r="E128" i="1"/>
  <c r="D128" i="1"/>
  <c r="AO127" i="1"/>
  <c r="AN127" i="1"/>
  <c r="AM127" i="1"/>
  <c r="AL127" i="1"/>
  <c r="AK127" i="1"/>
  <c r="AJ127" i="1"/>
  <c r="AI127" i="1"/>
  <c r="AG127" i="1"/>
  <c r="AE127" i="1"/>
  <c r="AD127" i="1"/>
  <c r="AB127" i="1"/>
  <c r="AA127" i="1"/>
  <c r="Z127" i="1"/>
  <c r="X127" i="1"/>
  <c r="W127" i="1"/>
  <c r="V127" i="1"/>
  <c r="S127" i="1"/>
  <c r="R127" i="1"/>
  <c r="Q127" i="1"/>
  <c r="O127" i="1"/>
  <c r="M127" i="1"/>
  <c r="L127" i="1"/>
  <c r="K127" i="1"/>
  <c r="J127" i="1"/>
  <c r="I127" i="1"/>
  <c r="H127" i="1"/>
  <c r="G127" i="1"/>
  <c r="F127" i="1"/>
  <c r="E127" i="1"/>
  <c r="D127" i="1"/>
  <c r="AO126" i="1"/>
  <c r="AN126" i="1"/>
  <c r="AM126" i="1"/>
  <c r="AL126" i="1"/>
  <c r="AK126" i="1"/>
  <c r="AJ126" i="1"/>
  <c r="AI126" i="1"/>
  <c r="AG126" i="1"/>
  <c r="AE126" i="1"/>
  <c r="AD126" i="1"/>
  <c r="AB126" i="1"/>
  <c r="AA126" i="1"/>
  <c r="Z126" i="1"/>
  <c r="X126" i="1"/>
  <c r="W126" i="1"/>
  <c r="V126" i="1"/>
  <c r="S126" i="1"/>
  <c r="R126" i="1"/>
  <c r="Q126" i="1"/>
  <c r="O126" i="1"/>
  <c r="M126" i="1"/>
  <c r="L126" i="1"/>
  <c r="K126" i="1"/>
  <c r="J126" i="1"/>
  <c r="I126" i="1"/>
  <c r="H126" i="1"/>
  <c r="G126" i="1"/>
  <c r="F126" i="1"/>
  <c r="E126" i="1"/>
  <c r="D126" i="1"/>
  <c r="AO125" i="1"/>
  <c r="AN125" i="1"/>
  <c r="AM125" i="1"/>
  <c r="AL125" i="1"/>
  <c r="AK125" i="1"/>
  <c r="AJ125" i="1"/>
  <c r="AI125" i="1"/>
  <c r="AG125" i="1"/>
  <c r="AE125" i="1"/>
  <c r="AD125" i="1"/>
  <c r="AB125" i="1"/>
  <c r="AA125" i="1"/>
  <c r="Z125" i="1"/>
  <c r="X125" i="1"/>
  <c r="W125" i="1"/>
  <c r="V125" i="1"/>
  <c r="S125" i="1"/>
  <c r="R125" i="1"/>
  <c r="Q125" i="1"/>
  <c r="O125" i="1"/>
  <c r="M125" i="1"/>
  <c r="L125" i="1"/>
  <c r="K125" i="1"/>
  <c r="J125" i="1"/>
  <c r="I125" i="1"/>
  <c r="H125" i="1"/>
  <c r="G125" i="1"/>
  <c r="F125" i="1"/>
  <c r="E125" i="1"/>
  <c r="D125" i="1"/>
  <c r="AO124" i="1"/>
  <c r="AN124" i="1"/>
  <c r="AM124" i="1"/>
  <c r="AL124" i="1"/>
  <c r="AK124" i="1"/>
  <c r="AJ124" i="1"/>
  <c r="AI124" i="1"/>
  <c r="AG124" i="1"/>
  <c r="AE124" i="1"/>
  <c r="AD124" i="1"/>
  <c r="AB124" i="1"/>
  <c r="AA124" i="1"/>
  <c r="Z124" i="1"/>
  <c r="X124" i="1"/>
  <c r="W124" i="1"/>
  <c r="V124" i="1"/>
  <c r="S124" i="1"/>
  <c r="R124" i="1"/>
  <c r="Q124" i="1"/>
  <c r="O124" i="1"/>
  <c r="M124" i="1"/>
  <c r="L124" i="1"/>
  <c r="K124" i="1"/>
  <c r="J124" i="1"/>
  <c r="I124" i="1"/>
  <c r="H124" i="1"/>
  <c r="G124" i="1"/>
  <c r="F124" i="1"/>
  <c r="E124" i="1"/>
  <c r="D124" i="1"/>
  <c r="AO123" i="1"/>
  <c r="AN123" i="1"/>
  <c r="AM123" i="1"/>
  <c r="AL123" i="1"/>
  <c r="AK123" i="1"/>
  <c r="AJ123" i="1"/>
  <c r="AI123" i="1"/>
  <c r="AG123" i="1"/>
  <c r="AE123" i="1"/>
  <c r="AD123" i="1"/>
  <c r="AB123" i="1"/>
  <c r="AA123" i="1"/>
  <c r="Z123" i="1"/>
  <c r="X123" i="1"/>
  <c r="W123" i="1"/>
  <c r="V123" i="1"/>
  <c r="S123" i="1"/>
  <c r="R123" i="1"/>
  <c r="Q123" i="1"/>
  <c r="O123" i="1"/>
  <c r="M123" i="1"/>
  <c r="L123" i="1"/>
  <c r="K123" i="1"/>
  <c r="J123" i="1"/>
  <c r="I123" i="1"/>
  <c r="H123" i="1"/>
  <c r="G123" i="1"/>
  <c r="F123" i="1"/>
  <c r="E123" i="1"/>
  <c r="D123" i="1"/>
  <c r="AO122" i="1"/>
  <c r="AN122" i="1"/>
  <c r="AM122" i="1"/>
  <c r="AL122" i="1"/>
  <c r="AK122" i="1"/>
  <c r="AJ122" i="1"/>
  <c r="AI122" i="1"/>
  <c r="AG122" i="1"/>
  <c r="AE122" i="1"/>
  <c r="AD122" i="1"/>
  <c r="AB122" i="1"/>
  <c r="AA122" i="1"/>
  <c r="Z122" i="1"/>
  <c r="X122" i="1"/>
  <c r="W122" i="1"/>
  <c r="V122" i="1"/>
  <c r="S122" i="1"/>
  <c r="R122" i="1"/>
  <c r="Q122" i="1"/>
  <c r="O122" i="1"/>
  <c r="M122" i="1"/>
  <c r="L122" i="1"/>
  <c r="K122" i="1"/>
  <c r="J122" i="1"/>
  <c r="I122" i="1"/>
  <c r="H122" i="1"/>
  <c r="G122" i="1"/>
  <c r="F122" i="1"/>
  <c r="E122" i="1"/>
  <c r="D122" i="1"/>
  <c r="AO121" i="1"/>
  <c r="AN121" i="1"/>
  <c r="AM121" i="1"/>
  <c r="AL121" i="1"/>
  <c r="AK121" i="1"/>
  <c r="AJ121" i="1"/>
  <c r="AI121" i="1"/>
  <c r="AG121" i="1"/>
  <c r="AE121" i="1"/>
  <c r="AD121" i="1"/>
  <c r="AB121" i="1"/>
  <c r="AA121" i="1"/>
  <c r="Z121" i="1"/>
  <c r="X121" i="1"/>
  <c r="W121" i="1"/>
  <c r="V121" i="1"/>
  <c r="S121" i="1"/>
  <c r="R121" i="1"/>
  <c r="Q121" i="1"/>
  <c r="O121" i="1"/>
  <c r="M121" i="1"/>
  <c r="L121" i="1"/>
  <c r="K121" i="1"/>
  <c r="J121" i="1"/>
  <c r="I121" i="1"/>
  <c r="H121" i="1"/>
  <c r="G121" i="1"/>
  <c r="F121" i="1"/>
  <c r="E121" i="1"/>
  <c r="D121" i="1"/>
  <c r="AO120" i="1"/>
  <c r="AN120" i="1"/>
  <c r="AM120" i="1"/>
  <c r="AL120" i="1"/>
  <c r="AK120" i="1"/>
  <c r="AJ120" i="1"/>
  <c r="AI120" i="1"/>
  <c r="AG120" i="1"/>
  <c r="AE120" i="1"/>
  <c r="AD120" i="1"/>
  <c r="AB120" i="1"/>
  <c r="AA120" i="1"/>
  <c r="Z120" i="1"/>
  <c r="X120" i="1"/>
  <c r="W120" i="1"/>
  <c r="V120" i="1"/>
  <c r="S120" i="1"/>
  <c r="R120" i="1"/>
  <c r="Q120" i="1"/>
  <c r="O120" i="1"/>
  <c r="M120" i="1"/>
  <c r="L120" i="1"/>
  <c r="K120" i="1"/>
  <c r="J120" i="1"/>
  <c r="I120" i="1"/>
  <c r="H120" i="1"/>
  <c r="G120" i="1"/>
  <c r="F120" i="1"/>
  <c r="E120" i="1"/>
  <c r="D120" i="1"/>
  <c r="AO119" i="1"/>
  <c r="AN119" i="1"/>
  <c r="AM119" i="1"/>
  <c r="AL119" i="1"/>
  <c r="AK119" i="1"/>
  <c r="AJ119" i="1"/>
  <c r="AI119" i="1"/>
  <c r="AG119" i="1"/>
  <c r="AE119" i="1"/>
  <c r="AD119" i="1"/>
  <c r="AB119" i="1"/>
  <c r="AA119" i="1"/>
  <c r="Z119" i="1"/>
  <c r="X119" i="1"/>
  <c r="W119" i="1"/>
  <c r="V119" i="1"/>
  <c r="S119" i="1"/>
  <c r="R119" i="1"/>
  <c r="Q119" i="1"/>
  <c r="O119" i="1"/>
  <c r="M119" i="1"/>
  <c r="L119" i="1"/>
  <c r="K119" i="1"/>
  <c r="J119" i="1"/>
  <c r="I119" i="1"/>
  <c r="H119" i="1"/>
  <c r="G119" i="1"/>
  <c r="F119" i="1"/>
  <c r="E119" i="1"/>
  <c r="D119" i="1"/>
  <c r="AO118" i="1"/>
  <c r="AN118" i="1"/>
  <c r="AM118" i="1"/>
  <c r="AL118" i="1"/>
  <c r="AK118" i="1"/>
  <c r="AJ118" i="1"/>
  <c r="AI118" i="1"/>
  <c r="AG118" i="1"/>
  <c r="AE118" i="1"/>
  <c r="AD118" i="1"/>
  <c r="AB118" i="1"/>
  <c r="AA118" i="1"/>
  <c r="Z118" i="1"/>
  <c r="X118" i="1"/>
  <c r="W118" i="1"/>
  <c r="V118" i="1"/>
  <c r="S118" i="1"/>
  <c r="R118" i="1"/>
  <c r="Q118" i="1"/>
  <c r="O118" i="1"/>
  <c r="M118" i="1"/>
  <c r="L118" i="1"/>
  <c r="K118" i="1"/>
  <c r="J118" i="1"/>
  <c r="I118" i="1"/>
  <c r="H118" i="1"/>
  <c r="G118" i="1"/>
  <c r="F118" i="1"/>
  <c r="E118" i="1"/>
  <c r="D118" i="1"/>
  <c r="AO117" i="1"/>
  <c r="AN117" i="1"/>
  <c r="AM117" i="1"/>
  <c r="AL117" i="1"/>
  <c r="AK117" i="1"/>
  <c r="AJ117" i="1"/>
  <c r="AI117" i="1"/>
  <c r="AG117" i="1"/>
  <c r="AE117" i="1"/>
  <c r="AD117" i="1"/>
  <c r="AB117" i="1"/>
  <c r="AA117" i="1"/>
  <c r="Z117" i="1"/>
  <c r="X117" i="1"/>
  <c r="W117" i="1"/>
  <c r="V117" i="1"/>
  <c r="S117" i="1"/>
  <c r="R117" i="1"/>
  <c r="Q117" i="1"/>
  <c r="O117" i="1"/>
  <c r="M117" i="1"/>
  <c r="L117" i="1"/>
  <c r="K117" i="1"/>
  <c r="J117" i="1"/>
  <c r="I117" i="1"/>
  <c r="H117" i="1"/>
  <c r="G117" i="1"/>
  <c r="F117" i="1"/>
  <c r="E117" i="1"/>
  <c r="D117" i="1"/>
  <c r="AO116" i="1"/>
  <c r="AN116" i="1"/>
  <c r="AM116" i="1"/>
  <c r="AL116" i="1"/>
  <c r="AK116" i="1"/>
  <c r="AJ116" i="1"/>
  <c r="AI116" i="1"/>
  <c r="AG116" i="1"/>
  <c r="AE116" i="1"/>
  <c r="AD116" i="1"/>
  <c r="AB116" i="1"/>
  <c r="AA116" i="1"/>
  <c r="Z116" i="1"/>
  <c r="X116" i="1"/>
  <c r="W116" i="1"/>
  <c r="V116" i="1"/>
  <c r="S116" i="1"/>
  <c r="R116" i="1"/>
  <c r="Q116" i="1"/>
  <c r="O116" i="1"/>
  <c r="M116" i="1"/>
  <c r="L116" i="1"/>
  <c r="K116" i="1"/>
  <c r="J116" i="1"/>
  <c r="I116" i="1"/>
  <c r="H116" i="1"/>
  <c r="G116" i="1"/>
  <c r="F116" i="1"/>
  <c r="E116" i="1"/>
  <c r="D116" i="1"/>
  <c r="AO115" i="1"/>
  <c r="AN115" i="1"/>
  <c r="AM115" i="1"/>
  <c r="AL115" i="1"/>
  <c r="AK115" i="1"/>
  <c r="AJ115" i="1"/>
  <c r="AI115" i="1"/>
  <c r="AG115" i="1"/>
  <c r="AE115" i="1"/>
  <c r="AD115" i="1"/>
  <c r="AB115" i="1"/>
  <c r="AA115" i="1"/>
  <c r="Z115" i="1"/>
  <c r="X115" i="1"/>
  <c r="W115" i="1"/>
  <c r="V115" i="1"/>
  <c r="S115" i="1"/>
  <c r="R115" i="1"/>
  <c r="Q115" i="1"/>
  <c r="O115" i="1"/>
  <c r="M115" i="1"/>
  <c r="L115" i="1"/>
  <c r="K115" i="1"/>
  <c r="J115" i="1"/>
  <c r="I115" i="1"/>
  <c r="H115" i="1"/>
  <c r="G115" i="1"/>
  <c r="F115" i="1"/>
  <c r="E115" i="1"/>
  <c r="D115" i="1"/>
  <c r="AO114" i="1"/>
  <c r="AN114" i="1"/>
  <c r="AM114" i="1"/>
  <c r="AL114" i="1"/>
  <c r="AK114" i="1"/>
  <c r="AJ114" i="1"/>
  <c r="AI114" i="1"/>
  <c r="AG114" i="1"/>
  <c r="AE114" i="1"/>
  <c r="AD114" i="1"/>
  <c r="AB114" i="1"/>
  <c r="AA114" i="1"/>
  <c r="Z114" i="1"/>
  <c r="X114" i="1"/>
  <c r="W114" i="1"/>
  <c r="V114" i="1"/>
  <c r="S114" i="1"/>
  <c r="R114" i="1"/>
  <c r="Q114" i="1"/>
  <c r="O114" i="1"/>
  <c r="M114" i="1"/>
  <c r="L114" i="1"/>
  <c r="K114" i="1"/>
  <c r="J114" i="1"/>
  <c r="I114" i="1"/>
  <c r="H114" i="1"/>
  <c r="G114" i="1"/>
  <c r="F114" i="1"/>
  <c r="E114" i="1"/>
  <c r="D114" i="1"/>
  <c r="AO113" i="1"/>
  <c r="AN113" i="1"/>
  <c r="AM113" i="1"/>
  <c r="AL113" i="1"/>
  <c r="AK113" i="1"/>
  <c r="AJ113" i="1"/>
  <c r="AI113" i="1"/>
  <c r="AG113" i="1"/>
  <c r="AE113" i="1"/>
  <c r="AD113" i="1"/>
  <c r="AB113" i="1"/>
  <c r="AA113" i="1"/>
  <c r="Z113" i="1"/>
  <c r="X113" i="1"/>
  <c r="W113" i="1"/>
  <c r="V113" i="1"/>
  <c r="S113" i="1"/>
  <c r="R113" i="1"/>
  <c r="Q113" i="1"/>
  <c r="O113" i="1"/>
  <c r="M113" i="1"/>
  <c r="L113" i="1"/>
  <c r="K113" i="1"/>
  <c r="J113" i="1"/>
  <c r="I113" i="1"/>
  <c r="H113" i="1"/>
  <c r="G113" i="1"/>
  <c r="F113" i="1"/>
  <c r="E113" i="1"/>
  <c r="D113" i="1"/>
  <c r="AO112" i="1"/>
  <c r="AN112" i="1"/>
  <c r="AM112" i="1"/>
  <c r="AL112" i="1"/>
  <c r="AK112" i="1"/>
  <c r="AJ112" i="1"/>
  <c r="AI112" i="1"/>
  <c r="AG112" i="1"/>
  <c r="AE112" i="1"/>
  <c r="AD112" i="1"/>
  <c r="AB112" i="1"/>
  <c r="AA112" i="1"/>
  <c r="Z112" i="1"/>
  <c r="X112" i="1"/>
  <c r="W112" i="1"/>
  <c r="V112" i="1"/>
  <c r="S112" i="1"/>
  <c r="R112" i="1"/>
  <c r="Q112" i="1"/>
  <c r="O112" i="1"/>
  <c r="M112" i="1"/>
  <c r="L112" i="1"/>
  <c r="K112" i="1"/>
  <c r="J112" i="1"/>
  <c r="I112" i="1"/>
  <c r="H112" i="1"/>
  <c r="G112" i="1"/>
  <c r="F112" i="1"/>
  <c r="E112" i="1"/>
  <c r="D112" i="1"/>
  <c r="AO111" i="1"/>
  <c r="AN111" i="1"/>
  <c r="AM111" i="1"/>
  <c r="AL111" i="1"/>
  <c r="AK111" i="1"/>
  <c r="AJ111" i="1"/>
  <c r="AI111" i="1"/>
  <c r="AG111" i="1"/>
  <c r="AE111" i="1"/>
  <c r="AD111" i="1"/>
  <c r="AB111" i="1"/>
  <c r="AA111" i="1"/>
  <c r="Z111" i="1"/>
  <c r="X111" i="1"/>
  <c r="W111" i="1"/>
  <c r="V111" i="1"/>
  <c r="S111" i="1"/>
  <c r="R111" i="1"/>
  <c r="Q111" i="1"/>
  <c r="O111" i="1"/>
  <c r="M111" i="1"/>
  <c r="L111" i="1"/>
  <c r="K111" i="1"/>
  <c r="J111" i="1"/>
  <c r="I111" i="1"/>
  <c r="H111" i="1"/>
  <c r="G111" i="1"/>
  <c r="F111" i="1"/>
  <c r="E111" i="1"/>
  <c r="D111" i="1"/>
  <c r="AO110" i="1"/>
  <c r="AN110" i="1"/>
  <c r="AM110" i="1"/>
  <c r="AL110" i="1"/>
  <c r="AK110" i="1"/>
  <c r="AJ110" i="1"/>
  <c r="AI110" i="1"/>
  <c r="AG110" i="1"/>
  <c r="AE110" i="1"/>
  <c r="AD110" i="1"/>
  <c r="AB110" i="1"/>
  <c r="AA110" i="1"/>
  <c r="Z110" i="1"/>
  <c r="X110" i="1"/>
  <c r="W110" i="1"/>
  <c r="V110" i="1"/>
  <c r="S110" i="1"/>
  <c r="R110" i="1"/>
  <c r="Q110" i="1"/>
  <c r="O110" i="1"/>
  <c r="M110" i="1"/>
  <c r="L110" i="1"/>
  <c r="K110" i="1"/>
  <c r="J110" i="1"/>
  <c r="I110" i="1"/>
  <c r="H110" i="1"/>
  <c r="G110" i="1"/>
  <c r="F110" i="1"/>
  <c r="E110" i="1"/>
  <c r="D110" i="1"/>
  <c r="AO109" i="1"/>
  <c r="AN109" i="1"/>
  <c r="AM109" i="1"/>
  <c r="AL109" i="1"/>
  <c r="AK109" i="1"/>
  <c r="AJ109" i="1"/>
  <c r="AI109" i="1"/>
  <c r="AG109" i="1"/>
  <c r="AE109" i="1"/>
  <c r="AD109" i="1"/>
  <c r="AB109" i="1"/>
  <c r="AA109" i="1"/>
  <c r="Z109" i="1"/>
  <c r="X109" i="1"/>
  <c r="W109" i="1"/>
  <c r="V109" i="1"/>
  <c r="S109" i="1"/>
  <c r="R109" i="1"/>
  <c r="Q109" i="1"/>
  <c r="O109" i="1"/>
  <c r="M109" i="1"/>
  <c r="L109" i="1"/>
  <c r="K109" i="1"/>
  <c r="J109" i="1"/>
  <c r="I109" i="1"/>
  <c r="H109" i="1"/>
  <c r="G109" i="1"/>
  <c r="F109" i="1"/>
  <c r="E109" i="1"/>
  <c r="D109" i="1"/>
  <c r="AO108" i="1"/>
  <c r="AN108" i="1"/>
  <c r="AM108" i="1"/>
  <c r="AL108" i="1"/>
  <c r="AK108" i="1"/>
  <c r="AJ108" i="1"/>
  <c r="AI108" i="1"/>
  <c r="AG108" i="1"/>
  <c r="AE108" i="1"/>
  <c r="AD108" i="1"/>
  <c r="AB108" i="1"/>
  <c r="AA108" i="1"/>
  <c r="Z108" i="1"/>
  <c r="X108" i="1"/>
  <c r="W108" i="1"/>
  <c r="V108" i="1"/>
  <c r="S108" i="1"/>
  <c r="R108" i="1"/>
  <c r="Q108" i="1"/>
  <c r="O108" i="1"/>
  <c r="M108" i="1"/>
  <c r="L108" i="1"/>
  <c r="K108" i="1"/>
  <c r="J108" i="1"/>
  <c r="I108" i="1"/>
  <c r="H108" i="1"/>
  <c r="G108" i="1"/>
  <c r="F108" i="1"/>
  <c r="E108" i="1"/>
  <c r="D108" i="1"/>
  <c r="AO107" i="1"/>
  <c r="AN107" i="1"/>
  <c r="AM107" i="1"/>
  <c r="AL107" i="1"/>
  <c r="AK107" i="1"/>
  <c r="AJ107" i="1"/>
  <c r="AI107" i="1"/>
  <c r="AG107" i="1"/>
  <c r="AE107" i="1"/>
  <c r="AD107" i="1"/>
  <c r="AB107" i="1"/>
  <c r="AA107" i="1"/>
  <c r="Z107" i="1"/>
  <c r="X107" i="1"/>
  <c r="W107" i="1"/>
  <c r="V107" i="1"/>
  <c r="S107" i="1"/>
  <c r="R107" i="1"/>
  <c r="Q107" i="1"/>
  <c r="O107" i="1"/>
  <c r="M107" i="1"/>
  <c r="L107" i="1"/>
  <c r="K107" i="1"/>
  <c r="J107" i="1"/>
  <c r="I107" i="1"/>
  <c r="H107" i="1"/>
  <c r="G107" i="1"/>
  <c r="F107" i="1"/>
  <c r="E107" i="1"/>
  <c r="D107" i="1"/>
  <c r="AO106" i="1"/>
  <c r="AN106" i="1"/>
  <c r="AM106" i="1"/>
  <c r="AL106" i="1"/>
  <c r="AK106" i="1"/>
  <c r="AJ106" i="1"/>
  <c r="AI106" i="1"/>
  <c r="AG106" i="1"/>
  <c r="AE106" i="1"/>
  <c r="AD106" i="1"/>
  <c r="AB106" i="1"/>
  <c r="AA106" i="1"/>
  <c r="Z106" i="1"/>
  <c r="X106" i="1"/>
  <c r="W106" i="1"/>
  <c r="V106" i="1"/>
  <c r="S106" i="1"/>
  <c r="R106" i="1"/>
  <c r="Q106" i="1"/>
  <c r="O106" i="1"/>
  <c r="M106" i="1"/>
  <c r="L106" i="1"/>
  <c r="K106" i="1"/>
  <c r="J106" i="1"/>
  <c r="I106" i="1"/>
  <c r="H106" i="1"/>
  <c r="G106" i="1"/>
  <c r="F106" i="1"/>
  <c r="E106" i="1"/>
  <c r="D106" i="1"/>
  <c r="AO105" i="1"/>
  <c r="AN105" i="1"/>
  <c r="AM105" i="1"/>
  <c r="AL105" i="1"/>
  <c r="AK105" i="1"/>
  <c r="AJ105" i="1"/>
  <c r="AI105" i="1"/>
  <c r="AG105" i="1"/>
  <c r="AE105" i="1"/>
  <c r="AD105" i="1"/>
  <c r="AB105" i="1"/>
  <c r="AA105" i="1"/>
  <c r="Z105" i="1"/>
  <c r="X105" i="1"/>
  <c r="W105" i="1"/>
  <c r="V105" i="1"/>
  <c r="S105" i="1"/>
  <c r="R105" i="1"/>
  <c r="Q105" i="1"/>
  <c r="O105" i="1"/>
  <c r="M105" i="1"/>
  <c r="L105" i="1"/>
  <c r="K105" i="1"/>
  <c r="J105" i="1"/>
  <c r="I105" i="1"/>
  <c r="H105" i="1"/>
  <c r="G105" i="1"/>
  <c r="F105" i="1"/>
  <c r="E105" i="1"/>
  <c r="D105" i="1"/>
  <c r="AO104" i="1"/>
  <c r="AN104" i="1"/>
  <c r="AM104" i="1"/>
  <c r="AL104" i="1"/>
  <c r="AK104" i="1"/>
  <c r="AJ104" i="1"/>
  <c r="AI104" i="1"/>
  <c r="AG104" i="1"/>
  <c r="AE104" i="1"/>
  <c r="AD104" i="1"/>
  <c r="AB104" i="1"/>
  <c r="AA104" i="1"/>
  <c r="Z104" i="1"/>
  <c r="X104" i="1"/>
  <c r="W104" i="1"/>
  <c r="V104" i="1"/>
  <c r="S104" i="1"/>
  <c r="R104" i="1"/>
  <c r="Q104" i="1"/>
  <c r="O104" i="1"/>
  <c r="M104" i="1"/>
  <c r="L104" i="1"/>
  <c r="K104" i="1"/>
  <c r="J104" i="1"/>
  <c r="I104" i="1"/>
  <c r="H104" i="1"/>
  <c r="G104" i="1"/>
  <c r="F104" i="1"/>
  <c r="E104" i="1"/>
  <c r="D104" i="1"/>
  <c r="AO103" i="1"/>
  <c r="AN103" i="1"/>
  <c r="AM103" i="1"/>
  <c r="AL103" i="1"/>
  <c r="AK103" i="1"/>
  <c r="AJ103" i="1"/>
  <c r="AI103" i="1"/>
  <c r="AG103" i="1"/>
  <c r="AE103" i="1"/>
  <c r="AD103" i="1"/>
  <c r="AB103" i="1"/>
  <c r="AA103" i="1"/>
  <c r="Z103" i="1"/>
  <c r="X103" i="1"/>
  <c r="W103" i="1"/>
  <c r="V103" i="1"/>
  <c r="S103" i="1"/>
  <c r="R103" i="1"/>
  <c r="Q103" i="1"/>
  <c r="O103" i="1"/>
  <c r="M103" i="1"/>
  <c r="L103" i="1"/>
  <c r="K103" i="1"/>
  <c r="J103" i="1"/>
  <c r="I103" i="1"/>
  <c r="H103" i="1"/>
  <c r="G103" i="1"/>
  <c r="F103" i="1"/>
  <c r="E103" i="1"/>
  <c r="D103" i="1"/>
  <c r="AO102" i="1"/>
  <c r="AN102" i="1"/>
  <c r="AM102" i="1"/>
  <c r="AL102" i="1"/>
  <c r="AK102" i="1"/>
  <c r="AJ102" i="1"/>
  <c r="AI102" i="1"/>
  <c r="AG102" i="1"/>
  <c r="AE102" i="1"/>
  <c r="AD102" i="1"/>
  <c r="AB102" i="1"/>
  <c r="AA102" i="1"/>
  <c r="Z102" i="1"/>
  <c r="X102" i="1"/>
  <c r="W102" i="1"/>
  <c r="V102" i="1"/>
  <c r="S102" i="1"/>
  <c r="R102" i="1"/>
  <c r="Q102" i="1"/>
  <c r="O102" i="1"/>
  <c r="M102" i="1"/>
  <c r="L102" i="1"/>
  <c r="K102" i="1"/>
  <c r="J102" i="1"/>
  <c r="I102" i="1"/>
  <c r="H102" i="1"/>
  <c r="G102" i="1"/>
  <c r="F102" i="1"/>
  <c r="E102" i="1"/>
  <c r="D102" i="1"/>
  <c r="AO101" i="1"/>
  <c r="AN101" i="1"/>
  <c r="AM101" i="1"/>
  <c r="AL101" i="1"/>
  <c r="AK101" i="1"/>
  <c r="AJ101" i="1"/>
  <c r="AI101" i="1"/>
  <c r="AG101" i="1"/>
  <c r="AE101" i="1"/>
  <c r="AD101" i="1"/>
  <c r="AB101" i="1"/>
  <c r="AA101" i="1"/>
  <c r="Z101" i="1"/>
  <c r="X101" i="1"/>
  <c r="W101" i="1"/>
  <c r="V101" i="1"/>
  <c r="S101" i="1"/>
  <c r="R101" i="1"/>
  <c r="Q101" i="1"/>
  <c r="O101" i="1"/>
  <c r="M101" i="1"/>
  <c r="L101" i="1"/>
  <c r="K101" i="1"/>
  <c r="J101" i="1"/>
  <c r="I101" i="1"/>
  <c r="H101" i="1"/>
  <c r="G101" i="1"/>
  <c r="F101" i="1"/>
  <c r="E101" i="1"/>
  <c r="D101" i="1"/>
  <c r="AO100" i="1"/>
  <c r="AN100" i="1"/>
  <c r="AM100" i="1"/>
  <c r="AL100" i="1"/>
  <c r="AK100" i="1"/>
  <c r="AJ100" i="1"/>
  <c r="AI100" i="1"/>
  <c r="AG100" i="1"/>
  <c r="AE100" i="1"/>
  <c r="AD100" i="1"/>
  <c r="AB100" i="1"/>
  <c r="AA100" i="1"/>
  <c r="Z100" i="1"/>
  <c r="X100" i="1"/>
  <c r="W100" i="1"/>
  <c r="V100" i="1"/>
  <c r="S100" i="1"/>
  <c r="R100" i="1"/>
  <c r="Q100" i="1"/>
  <c r="O100" i="1"/>
  <c r="M100" i="1"/>
  <c r="L100" i="1"/>
  <c r="K100" i="1"/>
  <c r="J100" i="1"/>
  <c r="I100" i="1"/>
  <c r="H100" i="1"/>
  <c r="G100" i="1"/>
  <c r="F100" i="1"/>
  <c r="E100" i="1"/>
  <c r="D100" i="1"/>
  <c r="AO99" i="1"/>
  <c r="AN99" i="1"/>
  <c r="AM99" i="1"/>
  <c r="AL99" i="1"/>
  <c r="AK99" i="1"/>
  <c r="AJ99" i="1"/>
  <c r="AI99" i="1"/>
  <c r="AG99" i="1"/>
  <c r="AE99" i="1"/>
  <c r="AD99" i="1"/>
  <c r="AB99" i="1"/>
  <c r="AA99" i="1"/>
  <c r="Z99" i="1"/>
  <c r="X99" i="1"/>
  <c r="W99" i="1"/>
  <c r="V99" i="1"/>
  <c r="S99" i="1"/>
  <c r="R99" i="1"/>
  <c r="Q99" i="1"/>
  <c r="O99" i="1"/>
  <c r="M99" i="1"/>
  <c r="L99" i="1"/>
  <c r="K99" i="1"/>
  <c r="J99" i="1"/>
  <c r="I99" i="1"/>
  <c r="H99" i="1"/>
  <c r="G99" i="1"/>
  <c r="F99" i="1"/>
  <c r="E99" i="1"/>
  <c r="D99" i="1"/>
  <c r="AO98" i="1"/>
  <c r="AN98" i="1"/>
  <c r="AM98" i="1"/>
  <c r="AL98" i="1"/>
  <c r="AK98" i="1"/>
  <c r="AJ98" i="1"/>
  <c r="AI98" i="1"/>
  <c r="AG98" i="1"/>
  <c r="AE98" i="1"/>
  <c r="AD98" i="1"/>
  <c r="AB98" i="1"/>
  <c r="AA98" i="1"/>
  <c r="Z98" i="1"/>
  <c r="X98" i="1"/>
  <c r="W98" i="1"/>
  <c r="V98" i="1"/>
  <c r="S98" i="1"/>
  <c r="R98" i="1"/>
  <c r="Q98" i="1"/>
  <c r="O98" i="1"/>
  <c r="M98" i="1"/>
  <c r="L98" i="1"/>
  <c r="K98" i="1"/>
  <c r="J98" i="1"/>
  <c r="I98" i="1"/>
  <c r="H98" i="1"/>
  <c r="G98" i="1"/>
  <c r="F98" i="1"/>
  <c r="E98" i="1"/>
  <c r="D98" i="1"/>
  <c r="AO97" i="1"/>
  <c r="AN97" i="1"/>
  <c r="AM97" i="1"/>
  <c r="AL97" i="1"/>
  <c r="AK97" i="1"/>
  <c r="AJ97" i="1"/>
  <c r="AI97" i="1"/>
  <c r="AG97" i="1"/>
  <c r="AE97" i="1"/>
  <c r="AD97" i="1"/>
  <c r="AB97" i="1"/>
  <c r="AA97" i="1"/>
  <c r="Z97" i="1"/>
  <c r="X97" i="1"/>
  <c r="W97" i="1"/>
  <c r="V97" i="1"/>
  <c r="S97" i="1"/>
  <c r="R97" i="1"/>
  <c r="Q97" i="1"/>
  <c r="O97" i="1"/>
  <c r="M97" i="1"/>
  <c r="L97" i="1"/>
  <c r="K97" i="1"/>
  <c r="J97" i="1"/>
  <c r="I97" i="1"/>
  <c r="H97" i="1"/>
  <c r="G97" i="1"/>
  <c r="F97" i="1"/>
  <c r="E97" i="1"/>
  <c r="D97" i="1"/>
  <c r="AO96" i="1"/>
  <c r="AN96" i="1"/>
  <c r="AM96" i="1"/>
  <c r="AL96" i="1"/>
  <c r="AK96" i="1"/>
  <c r="AJ96" i="1"/>
  <c r="AI96" i="1"/>
  <c r="AG96" i="1"/>
  <c r="AE96" i="1"/>
  <c r="AD96" i="1"/>
  <c r="AB96" i="1"/>
  <c r="AA96" i="1"/>
  <c r="Z96" i="1"/>
  <c r="X96" i="1"/>
  <c r="W96" i="1"/>
  <c r="V96" i="1"/>
  <c r="S96" i="1"/>
  <c r="R96" i="1"/>
  <c r="Q96" i="1"/>
  <c r="O96" i="1"/>
  <c r="M96" i="1"/>
  <c r="L96" i="1"/>
  <c r="K96" i="1"/>
  <c r="J96" i="1"/>
  <c r="I96" i="1"/>
  <c r="H96" i="1"/>
  <c r="G96" i="1"/>
  <c r="F96" i="1"/>
  <c r="E96" i="1"/>
  <c r="D96" i="1"/>
  <c r="AO95" i="1"/>
  <c r="AN95" i="1"/>
  <c r="AM95" i="1"/>
  <c r="AL95" i="1"/>
  <c r="AK95" i="1"/>
  <c r="AJ95" i="1"/>
  <c r="AI95" i="1"/>
  <c r="AG95" i="1"/>
  <c r="AE95" i="1"/>
  <c r="AD95" i="1"/>
  <c r="AB95" i="1"/>
  <c r="AA95" i="1"/>
  <c r="Z95" i="1"/>
  <c r="X95" i="1"/>
  <c r="W95" i="1"/>
  <c r="V95" i="1"/>
  <c r="S95" i="1"/>
  <c r="R95" i="1"/>
  <c r="Q95" i="1"/>
  <c r="O95" i="1"/>
  <c r="M95" i="1"/>
  <c r="L95" i="1"/>
  <c r="K95" i="1"/>
  <c r="J95" i="1"/>
  <c r="I95" i="1"/>
  <c r="H95" i="1"/>
  <c r="G95" i="1"/>
  <c r="F95" i="1"/>
  <c r="E95" i="1"/>
  <c r="D95" i="1"/>
  <c r="AO94" i="1"/>
  <c r="AN94" i="1"/>
  <c r="AM94" i="1"/>
  <c r="AL94" i="1"/>
  <c r="AK94" i="1"/>
  <c r="AJ94" i="1"/>
  <c r="AI94" i="1"/>
  <c r="AG94" i="1"/>
  <c r="AE94" i="1"/>
  <c r="AD94" i="1"/>
  <c r="AB94" i="1"/>
  <c r="AA94" i="1"/>
  <c r="Z94" i="1"/>
  <c r="X94" i="1"/>
  <c r="W94" i="1"/>
  <c r="V94" i="1"/>
  <c r="S94" i="1"/>
  <c r="R94" i="1"/>
  <c r="Q94" i="1"/>
  <c r="O94" i="1"/>
  <c r="M94" i="1"/>
  <c r="L94" i="1"/>
  <c r="K94" i="1"/>
  <c r="J94" i="1"/>
  <c r="I94" i="1"/>
  <c r="H94" i="1"/>
  <c r="G94" i="1"/>
  <c r="F94" i="1"/>
  <c r="E94" i="1"/>
  <c r="D94" i="1"/>
  <c r="AO93" i="1"/>
  <c r="AN93" i="1"/>
  <c r="AM93" i="1"/>
  <c r="AL93" i="1"/>
  <c r="AK93" i="1"/>
  <c r="AJ93" i="1"/>
  <c r="AI93" i="1"/>
  <c r="AG93" i="1"/>
  <c r="AE93" i="1"/>
  <c r="AD93" i="1"/>
  <c r="AB93" i="1"/>
  <c r="AA93" i="1"/>
  <c r="Z93" i="1"/>
  <c r="X93" i="1"/>
  <c r="W93" i="1"/>
  <c r="V93" i="1"/>
  <c r="S93" i="1"/>
  <c r="R93" i="1"/>
  <c r="Q93" i="1"/>
  <c r="O93" i="1"/>
  <c r="M93" i="1"/>
  <c r="L93" i="1"/>
  <c r="K93" i="1"/>
  <c r="J93" i="1"/>
  <c r="I93" i="1"/>
  <c r="H93" i="1"/>
  <c r="G93" i="1"/>
  <c r="F93" i="1"/>
  <c r="E93" i="1"/>
  <c r="D93" i="1"/>
  <c r="AO92" i="1"/>
  <c r="AN92" i="1"/>
  <c r="AM92" i="1"/>
  <c r="AL92" i="1"/>
  <c r="AK92" i="1"/>
  <c r="AJ92" i="1"/>
  <c r="AI92" i="1"/>
  <c r="AG92" i="1"/>
  <c r="AE92" i="1"/>
  <c r="AD92" i="1"/>
  <c r="AB92" i="1"/>
  <c r="AA92" i="1"/>
  <c r="Z92" i="1"/>
  <c r="X92" i="1"/>
  <c r="W92" i="1"/>
  <c r="V92" i="1"/>
  <c r="S92" i="1"/>
  <c r="R92" i="1"/>
  <c r="Q92" i="1"/>
  <c r="O92" i="1"/>
  <c r="M92" i="1"/>
  <c r="L92" i="1"/>
  <c r="K92" i="1"/>
  <c r="J92" i="1"/>
  <c r="I92" i="1"/>
  <c r="H92" i="1"/>
  <c r="G92" i="1"/>
  <c r="F92" i="1"/>
  <c r="E92" i="1"/>
  <c r="D92" i="1"/>
  <c r="AO91" i="1"/>
  <c r="AN91" i="1"/>
  <c r="AM91" i="1"/>
  <c r="AL91" i="1"/>
  <c r="AK91" i="1"/>
  <c r="AJ91" i="1"/>
  <c r="AI91" i="1"/>
  <c r="AG91" i="1"/>
  <c r="AE91" i="1"/>
  <c r="AD91" i="1"/>
  <c r="AB91" i="1"/>
  <c r="AA91" i="1"/>
  <c r="Z91" i="1"/>
  <c r="X91" i="1"/>
  <c r="W91" i="1"/>
  <c r="V91" i="1"/>
  <c r="S91" i="1"/>
  <c r="R91" i="1"/>
  <c r="Q91" i="1"/>
  <c r="O91" i="1"/>
  <c r="M91" i="1"/>
  <c r="L91" i="1"/>
  <c r="K91" i="1"/>
  <c r="J91" i="1"/>
  <c r="I91" i="1"/>
  <c r="H91" i="1"/>
  <c r="G91" i="1"/>
  <c r="F91" i="1"/>
  <c r="E91" i="1"/>
  <c r="D91" i="1"/>
  <c r="AO90" i="1"/>
  <c r="AN90" i="1"/>
  <c r="AM90" i="1"/>
  <c r="AL90" i="1"/>
  <c r="AK90" i="1"/>
  <c r="AJ90" i="1"/>
  <c r="AI90" i="1"/>
  <c r="AG90" i="1"/>
  <c r="AE90" i="1"/>
  <c r="AD90" i="1"/>
  <c r="AB90" i="1"/>
  <c r="AA90" i="1"/>
  <c r="Z90" i="1"/>
  <c r="X90" i="1"/>
  <c r="W90" i="1"/>
  <c r="V90" i="1"/>
  <c r="S90" i="1"/>
  <c r="R90" i="1"/>
  <c r="Q90" i="1"/>
  <c r="O90" i="1"/>
  <c r="M90" i="1"/>
  <c r="L90" i="1"/>
  <c r="K90" i="1"/>
  <c r="J90" i="1"/>
  <c r="I90" i="1"/>
  <c r="H90" i="1"/>
  <c r="G90" i="1"/>
  <c r="F90" i="1"/>
  <c r="E90" i="1"/>
  <c r="D90" i="1"/>
  <c r="AO89" i="1"/>
  <c r="AN89" i="1"/>
  <c r="AM89" i="1"/>
  <c r="AL89" i="1"/>
  <c r="AK89" i="1"/>
  <c r="AJ89" i="1"/>
  <c r="AI89" i="1"/>
  <c r="AG89" i="1"/>
  <c r="AE89" i="1"/>
  <c r="AD89" i="1"/>
  <c r="AB89" i="1"/>
  <c r="AA89" i="1"/>
  <c r="Z89" i="1"/>
  <c r="X89" i="1"/>
  <c r="W89" i="1"/>
  <c r="V89" i="1"/>
  <c r="S89" i="1"/>
  <c r="R89" i="1"/>
  <c r="Q89" i="1"/>
  <c r="O89" i="1"/>
  <c r="M89" i="1"/>
  <c r="L89" i="1"/>
  <c r="K89" i="1"/>
  <c r="J89" i="1"/>
  <c r="I89" i="1"/>
  <c r="H89" i="1"/>
  <c r="G89" i="1"/>
  <c r="F89" i="1"/>
  <c r="E89" i="1"/>
  <c r="D89" i="1"/>
  <c r="AO88" i="1"/>
  <c r="AN88" i="1"/>
  <c r="AM88" i="1"/>
  <c r="AL88" i="1"/>
  <c r="AK88" i="1"/>
  <c r="AJ88" i="1"/>
  <c r="AI88" i="1"/>
  <c r="AG88" i="1"/>
  <c r="AE88" i="1"/>
  <c r="AD88" i="1"/>
  <c r="AB88" i="1"/>
  <c r="AA88" i="1"/>
  <c r="Z88" i="1"/>
  <c r="X88" i="1"/>
  <c r="W88" i="1"/>
  <c r="V88" i="1"/>
  <c r="S88" i="1"/>
  <c r="R88" i="1"/>
  <c r="Q88" i="1"/>
  <c r="O88" i="1"/>
  <c r="M88" i="1"/>
  <c r="L88" i="1"/>
  <c r="K88" i="1"/>
  <c r="J88" i="1"/>
  <c r="I88" i="1"/>
  <c r="H88" i="1"/>
  <c r="G88" i="1"/>
  <c r="F88" i="1"/>
  <c r="E88" i="1"/>
  <c r="D88" i="1"/>
  <c r="AO87" i="1"/>
  <c r="AN87" i="1"/>
  <c r="AM87" i="1"/>
  <c r="AL87" i="1"/>
  <c r="AK87" i="1"/>
  <c r="AJ87" i="1"/>
  <c r="AI87" i="1"/>
  <c r="AG87" i="1"/>
  <c r="AE87" i="1"/>
  <c r="AD87" i="1"/>
  <c r="AB87" i="1"/>
  <c r="AA87" i="1"/>
  <c r="Z87" i="1"/>
  <c r="X87" i="1"/>
  <c r="W87" i="1"/>
  <c r="V87" i="1"/>
  <c r="S87" i="1"/>
  <c r="R87" i="1"/>
  <c r="Q87" i="1"/>
  <c r="O87" i="1"/>
  <c r="M87" i="1"/>
  <c r="L87" i="1"/>
  <c r="K87" i="1"/>
  <c r="J87" i="1"/>
  <c r="I87" i="1"/>
  <c r="H87" i="1"/>
  <c r="G87" i="1"/>
  <c r="F87" i="1"/>
  <c r="E87" i="1"/>
  <c r="D87" i="1"/>
  <c r="AO86" i="1"/>
  <c r="AN86" i="1"/>
  <c r="AM86" i="1"/>
  <c r="AL86" i="1"/>
  <c r="AK86" i="1"/>
  <c r="AJ86" i="1"/>
  <c r="AI86" i="1"/>
  <c r="AG86" i="1"/>
  <c r="AE86" i="1"/>
  <c r="AD86" i="1"/>
  <c r="AB86" i="1"/>
  <c r="AA86" i="1"/>
  <c r="Z86" i="1"/>
  <c r="X86" i="1"/>
  <c r="W86" i="1"/>
  <c r="V86" i="1"/>
  <c r="S86" i="1"/>
  <c r="R86" i="1"/>
  <c r="Q86" i="1"/>
  <c r="O86" i="1"/>
  <c r="M86" i="1"/>
  <c r="L86" i="1"/>
  <c r="K86" i="1"/>
  <c r="J86" i="1"/>
  <c r="I86" i="1"/>
  <c r="H86" i="1"/>
  <c r="G86" i="1"/>
  <c r="F86" i="1"/>
  <c r="E86" i="1"/>
  <c r="D86" i="1"/>
  <c r="AO85" i="1"/>
  <c r="AN85" i="1"/>
  <c r="AM85" i="1"/>
  <c r="AL85" i="1"/>
  <c r="AK85" i="1"/>
  <c r="AJ85" i="1"/>
  <c r="AI85" i="1"/>
  <c r="AG85" i="1"/>
  <c r="AE85" i="1"/>
  <c r="AD85" i="1"/>
  <c r="AB85" i="1"/>
  <c r="AA85" i="1"/>
  <c r="Z85" i="1"/>
  <c r="X85" i="1"/>
  <c r="W85" i="1"/>
  <c r="V85" i="1"/>
  <c r="S85" i="1"/>
  <c r="R85" i="1"/>
  <c r="Q85" i="1"/>
  <c r="O85" i="1"/>
  <c r="M85" i="1"/>
  <c r="L85" i="1"/>
  <c r="K85" i="1"/>
  <c r="J85" i="1"/>
  <c r="I85" i="1"/>
  <c r="H85" i="1"/>
  <c r="G85" i="1"/>
  <c r="F85" i="1"/>
  <c r="E85" i="1"/>
  <c r="D85" i="1"/>
  <c r="AO84" i="1"/>
  <c r="AN84" i="1"/>
  <c r="AM84" i="1"/>
  <c r="AL84" i="1"/>
  <c r="AK84" i="1"/>
  <c r="AJ84" i="1"/>
  <c r="AI84" i="1"/>
  <c r="AG84" i="1"/>
  <c r="AE84" i="1"/>
  <c r="AD84" i="1"/>
  <c r="AB84" i="1"/>
  <c r="AA84" i="1"/>
  <c r="Z84" i="1"/>
  <c r="X84" i="1"/>
  <c r="W84" i="1"/>
  <c r="V84" i="1"/>
  <c r="S84" i="1"/>
  <c r="R84" i="1"/>
  <c r="Q84" i="1"/>
  <c r="O84" i="1"/>
  <c r="M84" i="1"/>
  <c r="L84" i="1"/>
  <c r="K84" i="1"/>
  <c r="J84" i="1"/>
  <c r="I84" i="1"/>
  <c r="H84" i="1"/>
  <c r="G84" i="1"/>
  <c r="F84" i="1"/>
  <c r="E84" i="1"/>
  <c r="D84" i="1"/>
  <c r="AO83" i="1"/>
  <c r="AN83" i="1"/>
  <c r="AM83" i="1"/>
  <c r="AL83" i="1"/>
  <c r="AK83" i="1"/>
  <c r="AJ83" i="1"/>
  <c r="AI83" i="1"/>
  <c r="AG83" i="1"/>
  <c r="AE83" i="1"/>
  <c r="AD83" i="1"/>
  <c r="AB83" i="1"/>
  <c r="AA83" i="1"/>
  <c r="Z83" i="1"/>
  <c r="X83" i="1"/>
  <c r="W83" i="1"/>
  <c r="V83" i="1"/>
  <c r="S83" i="1"/>
  <c r="R83" i="1"/>
  <c r="Q83" i="1"/>
  <c r="O83" i="1"/>
  <c r="M83" i="1"/>
  <c r="L83" i="1"/>
  <c r="K83" i="1"/>
  <c r="J83" i="1"/>
  <c r="I83" i="1"/>
  <c r="H83" i="1"/>
  <c r="G83" i="1"/>
  <c r="F83" i="1"/>
  <c r="E83" i="1"/>
  <c r="D83" i="1"/>
  <c r="AO82" i="1"/>
  <c r="AN82" i="1"/>
  <c r="AM82" i="1"/>
  <c r="AL82" i="1"/>
  <c r="AK82" i="1"/>
  <c r="AJ82" i="1"/>
  <c r="AI82" i="1"/>
  <c r="AG82" i="1"/>
  <c r="AE82" i="1"/>
  <c r="AD82" i="1"/>
  <c r="AB82" i="1"/>
  <c r="AA82" i="1"/>
  <c r="Z82" i="1"/>
  <c r="X82" i="1"/>
  <c r="W82" i="1"/>
  <c r="V82" i="1"/>
  <c r="S82" i="1"/>
  <c r="R82" i="1"/>
  <c r="Q82" i="1"/>
  <c r="O82" i="1"/>
  <c r="M82" i="1"/>
  <c r="L82" i="1"/>
  <c r="K82" i="1"/>
  <c r="J82" i="1"/>
  <c r="I82" i="1"/>
  <c r="H82" i="1"/>
  <c r="G82" i="1"/>
  <c r="F82" i="1"/>
  <c r="E82" i="1"/>
  <c r="D82" i="1"/>
  <c r="AO81" i="1"/>
  <c r="AN81" i="1"/>
  <c r="AM81" i="1"/>
  <c r="AL81" i="1"/>
  <c r="AK81" i="1"/>
  <c r="AJ81" i="1"/>
  <c r="AI81" i="1"/>
  <c r="AG81" i="1"/>
  <c r="AE81" i="1"/>
  <c r="AD81" i="1"/>
  <c r="AB81" i="1"/>
  <c r="AA81" i="1"/>
  <c r="Z81" i="1"/>
  <c r="X81" i="1"/>
  <c r="W81" i="1"/>
  <c r="V81" i="1"/>
  <c r="S81" i="1"/>
  <c r="R81" i="1"/>
  <c r="Q81" i="1"/>
  <c r="O81" i="1"/>
  <c r="M81" i="1"/>
  <c r="L81" i="1"/>
  <c r="K81" i="1"/>
  <c r="J81" i="1"/>
  <c r="I81" i="1"/>
  <c r="H81" i="1"/>
  <c r="G81" i="1"/>
  <c r="F81" i="1"/>
  <c r="E81" i="1"/>
  <c r="D81" i="1"/>
  <c r="AO80" i="1"/>
  <c r="AN80" i="1"/>
  <c r="AM80" i="1"/>
  <c r="AL80" i="1"/>
  <c r="AK80" i="1"/>
  <c r="AJ80" i="1"/>
  <c r="AI80" i="1"/>
  <c r="AG80" i="1"/>
  <c r="AE80" i="1"/>
  <c r="AD80" i="1"/>
  <c r="AB80" i="1"/>
  <c r="AA80" i="1"/>
  <c r="Z80" i="1"/>
  <c r="X80" i="1"/>
  <c r="W80" i="1"/>
  <c r="V80" i="1"/>
  <c r="S80" i="1"/>
  <c r="R80" i="1"/>
  <c r="Q80" i="1"/>
  <c r="O80" i="1"/>
  <c r="M80" i="1"/>
  <c r="L80" i="1"/>
  <c r="K80" i="1"/>
  <c r="J80" i="1"/>
  <c r="I80" i="1"/>
  <c r="H80" i="1"/>
  <c r="G80" i="1"/>
  <c r="F80" i="1"/>
  <c r="E80" i="1"/>
  <c r="D80" i="1"/>
  <c r="AO79" i="1"/>
  <c r="AN79" i="1"/>
  <c r="AM79" i="1"/>
  <c r="AL79" i="1"/>
  <c r="AK79" i="1"/>
  <c r="AJ79" i="1"/>
  <c r="AI79" i="1"/>
  <c r="AG79" i="1"/>
  <c r="AE79" i="1"/>
  <c r="AD79" i="1"/>
  <c r="AB79" i="1"/>
  <c r="AA79" i="1"/>
  <c r="Z79" i="1"/>
  <c r="X79" i="1"/>
  <c r="W79" i="1"/>
  <c r="V79" i="1"/>
  <c r="S79" i="1"/>
  <c r="R79" i="1"/>
  <c r="Q79" i="1"/>
  <c r="O79" i="1"/>
  <c r="M79" i="1"/>
  <c r="L79" i="1"/>
  <c r="K79" i="1"/>
  <c r="J79" i="1"/>
  <c r="I79" i="1"/>
  <c r="H79" i="1"/>
  <c r="G79" i="1"/>
  <c r="F79" i="1"/>
  <c r="E79" i="1"/>
  <c r="D79" i="1"/>
  <c r="AO78" i="1"/>
  <c r="AN78" i="1"/>
  <c r="AM78" i="1"/>
  <c r="AL78" i="1"/>
  <c r="AK78" i="1"/>
  <c r="AJ78" i="1"/>
  <c r="AI78" i="1"/>
  <c r="AG78" i="1"/>
  <c r="AE78" i="1"/>
  <c r="AD78" i="1"/>
  <c r="AB78" i="1"/>
  <c r="AA78" i="1"/>
  <c r="Z78" i="1"/>
  <c r="X78" i="1"/>
  <c r="W78" i="1"/>
  <c r="V78" i="1"/>
  <c r="S78" i="1"/>
  <c r="R78" i="1"/>
  <c r="Q78" i="1"/>
  <c r="O78" i="1"/>
  <c r="M78" i="1"/>
  <c r="L78" i="1"/>
  <c r="K78" i="1"/>
  <c r="J78" i="1"/>
  <c r="I78" i="1"/>
  <c r="H78" i="1"/>
  <c r="G78" i="1"/>
  <c r="F78" i="1"/>
  <c r="E78" i="1"/>
  <c r="D78" i="1"/>
  <c r="AO77" i="1"/>
  <c r="AN77" i="1"/>
  <c r="AM77" i="1"/>
  <c r="AL77" i="1"/>
  <c r="AK77" i="1"/>
  <c r="AJ77" i="1"/>
  <c r="AI77" i="1"/>
  <c r="AG77" i="1"/>
  <c r="AE77" i="1"/>
  <c r="AD77" i="1"/>
  <c r="AB77" i="1"/>
  <c r="AA77" i="1"/>
  <c r="Z77" i="1"/>
  <c r="X77" i="1"/>
  <c r="W77" i="1"/>
  <c r="V77" i="1"/>
  <c r="S77" i="1"/>
  <c r="R77" i="1"/>
  <c r="Q77" i="1"/>
  <c r="O77" i="1"/>
  <c r="M77" i="1"/>
  <c r="L77" i="1"/>
  <c r="K77" i="1"/>
  <c r="J77" i="1"/>
  <c r="I77" i="1"/>
  <c r="H77" i="1"/>
  <c r="G77" i="1"/>
  <c r="F77" i="1"/>
  <c r="E77" i="1"/>
  <c r="D77" i="1"/>
  <c r="AO76" i="1"/>
  <c r="AN76" i="1"/>
  <c r="AM76" i="1"/>
  <c r="AL76" i="1"/>
  <c r="AK76" i="1"/>
  <c r="AJ76" i="1"/>
  <c r="AI76" i="1"/>
  <c r="AG76" i="1"/>
  <c r="AE76" i="1"/>
  <c r="AD76" i="1"/>
  <c r="AB76" i="1"/>
  <c r="AA76" i="1"/>
  <c r="Z76" i="1"/>
  <c r="X76" i="1"/>
  <c r="W76" i="1"/>
  <c r="V76" i="1"/>
  <c r="S76" i="1"/>
  <c r="R76" i="1"/>
  <c r="Q76" i="1"/>
  <c r="O76" i="1"/>
  <c r="M76" i="1"/>
  <c r="L76" i="1"/>
  <c r="K76" i="1"/>
  <c r="J76" i="1"/>
  <c r="I76" i="1"/>
  <c r="H76" i="1"/>
  <c r="G76" i="1"/>
  <c r="F76" i="1"/>
  <c r="E76" i="1"/>
  <c r="D76" i="1"/>
  <c r="AO75" i="1"/>
  <c r="AN75" i="1"/>
  <c r="AM75" i="1"/>
  <c r="AL75" i="1"/>
  <c r="AK75" i="1"/>
  <c r="AJ75" i="1"/>
  <c r="AI75" i="1"/>
  <c r="AG75" i="1"/>
  <c r="AE75" i="1"/>
  <c r="AD75" i="1"/>
  <c r="AB75" i="1"/>
  <c r="AA75" i="1"/>
  <c r="Z75" i="1"/>
  <c r="X75" i="1"/>
  <c r="W75" i="1"/>
  <c r="V75" i="1"/>
  <c r="S75" i="1"/>
  <c r="R75" i="1"/>
  <c r="Q75" i="1"/>
  <c r="O75" i="1"/>
  <c r="M75" i="1"/>
  <c r="L75" i="1"/>
  <c r="K75" i="1"/>
  <c r="J75" i="1"/>
  <c r="I75" i="1"/>
  <c r="H75" i="1"/>
  <c r="G75" i="1"/>
  <c r="F75" i="1"/>
  <c r="E75" i="1"/>
  <c r="D75" i="1"/>
  <c r="AO74" i="1"/>
  <c r="AN74" i="1"/>
  <c r="AM74" i="1"/>
  <c r="AL74" i="1"/>
  <c r="AK74" i="1"/>
  <c r="AJ74" i="1"/>
  <c r="AI74" i="1"/>
  <c r="AG74" i="1"/>
  <c r="AE74" i="1"/>
  <c r="AD74" i="1"/>
  <c r="AB74" i="1"/>
  <c r="AA74" i="1"/>
  <c r="Z74" i="1"/>
  <c r="X74" i="1"/>
  <c r="W74" i="1"/>
  <c r="V74" i="1"/>
  <c r="S74" i="1"/>
  <c r="R74" i="1"/>
  <c r="Q74" i="1"/>
  <c r="O74" i="1"/>
  <c r="M74" i="1"/>
  <c r="L74" i="1"/>
  <c r="K74" i="1"/>
  <c r="J74" i="1"/>
  <c r="I74" i="1"/>
  <c r="H74" i="1"/>
  <c r="G74" i="1"/>
  <c r="F74" i="1"/>
  <c r="E74" i="1"/>
  <c r="D74" i="1"/>
  <c r="AO73" i="1"/>
  <c r="AN73" i="1"/>
  <c r="AM73" i="1"/>
  <c r="AL73" i="1"/>
  <c r="AK73" i="1"/>
  <c r="AJ73" i="1"/>
  <c r="AI73" i="1"/>
  <c r="AG73" i="1"/>
  <c r="AE73" i="1"/>
  <c r="AD73" i="1"/>
  <c r="AB73" i="1"/>
  <c r="AA73" i="1"/>
  <c r="Z73" i="1"/>
  <c r="X73" i="1"/>
  <c r="W73" i="1"/>
  <c r="V73" i="1"/>
  <c r="S73" i="1"/>
  <c r="R73" i="1"/>
  <c r="Q73" i="1"/>
  <c r="O73" i="1"/>
  <c r="M73" i="1"/>
  <c r="L73" i="1"/>
  <c r="K73" i="1"/>
  <c r="J73" i="1"/>
  <c r="I73" i="1"/>
  <c r="H73" i="1"/>
  <c r="G73" i="1"/>
  <c r="F73" i="1"/>
  <c r="E73" i="1"/>
  <c r="D73" i="1"/>
  <c r="AO72" i="1"/>
  <c r="AN72" i="1"/>
  <c r="AM72" i="1"/>
  <c r="AL72" i="1"/>
  <c r="AK72" i="1"/>
  <c r="AJ72" i="1"/>
  <c r="AI72" i="1"/>
  <c r="AG72" i="1"/>
  <c r="AE72" i="1"/>
  <c r="AD72" i="1"/>
  <c r="AB72" i="1"/>
  <c r="AA72" i="1"/>
  <c r="Z72" i="1"/>
  <c r="X72" i="1"/>
  <c r="W72" i="1"/>
  <c r="V72" i="1"/>
  <c r="S72" i="1"/>
  <c r="R72" i="1"/>
  <c r="Q72" i="1"/>
  <c r="O72" i="1"/>
  <c r="M72" i="1"/>
  <c r="L72" i="1"/>
  <c r="K72" i="1"/>
  <c r="J72" i="1"/>
  <c r="I72" i="1"/>
  <c r="H72" i="1"/>
  <c r="G72" i="1"/>
  <c r="F72" i="1"/>
  <c r="E72" i="1"/>
  <c r="D72" i="1"/>
  <c r="AO71" i="1"/>
  <c r="AN71" i="1"/>
  <c r="AM71" i="1"/>
  <c r="AL71" i="1"/>
  <c r="AK71" i="1"/>
  <c r="AJ71" i="1"/>
  <c r="AI71" i="1"/>
  <c r="AG71" i="1"/>
  <c r="AE71" i="1"/>
  <c r="AD71" i="1"/>
  <c r="AB71" i="1"/>
  <c r="AA71" i="1"/>
  <c r="Z71" i="1"/>
  <c r="X71" i="1"/>
  <c r="W71" i="1"/>
  <c r="V71" i="1"/>
  <c r="S71" i="1"/>
  <c r="R71" i="1"/>
  <c r="Q71" i="1"/>
  <c r="O71" i="1"/>
  <c r="M71" i="1"/>
  <c r="L71" i="1"/>
  <c r="K71" i="1"/>
  <c r="J71" i="1"/>
  <c r="I71" i="1"/>
  <c r="H71" i="1"/>
  <c r="G71" i="1"/>
  <c r="F71" i="1"/>
  <c r="E71" i="1"/>
  <c r="D71" i="1"/>
  <c r="AO70" i="1"/>
  <c r="AN70" i="1"/>
  <c r="AM70" i="1"/>
  <c r="AL70" i="1"/>
  <c r="AK70" i="1"/>
  <c r="AJ70" i="1"/>
  <c r="AI70" i="1"/>
  <c r="AG70" i="1"/>
  <c r="AE70" i="1"/>
  <c r="AD70" i="1"/>
  <c r="AB70" i="1"/>
  <c r="AA70" i="1"/>
  <c r="Z70" i="1"/>
  <c r="X70" i="1"/>
  <c r="W70" i="1"/>
  <c r="V70" i="1"/>
  <c r="S70" i="1"/>
  <c r="R70" i="1"/>
  <c r="Q70" i="1"/>
  <c r="O70" i="1"/>
  <c r="M70" i="1"/>
  <c r="L70" i="1"/>
  <c r="K70" i="1"/>
  <c r="J70" i="1"/>
  <c r="I70" i="1"/>
  <c r="H70" i="1"/>
  <c r="G70" i="1"/>
  <c r="F70" i="1"/>
  <c r="E70" i="1"/>
  <c r="D70" i="1"/>
  <c r="AO69" i="1"/>
  <c r="AN69" i="1"/>
  <c r="AM69" i="1"/>
  <c r="AL69" i="1"/>
  <c r="AK69" i="1"/>
  <c r="AJ69" i="1"/>
  <c r="AI69" i="1"/>
  <c r="AG69" i="1"/>
  <c r="AE69" i="1"/>
  <c r="AD69" i="1"/>
  <c r="AB69" i="1"/>
  <c r="AA69" i="1"/>
  <c r="Z69" i="1"/>
  <c r="X69" i="1"/>
  <c r="W69" i="1"/>
  <c r="V69" i="1"/>
  <c r="S69" i="1"/>
  <c r="R69" i="1"/>
  <c r="Q69" i="1"/>
  <c r="O69" i="1"/>
  <c r="M69" i="1"/>
  <c r="L69" i="1"/>
  <c r="K69" i="1"/>
  <c r="J69" i="1"/>
  <c r="I69" i="1"/>
  <c r="H69" i="1"/>
  <c r="G69" i="1"/>
  <c r="F69" i="1"/>
  <c r="E69" i="1"/>
  <c r="D69" i="1"/>
  <c r="AO68" i="1"/>
  <c r="AN68" i="1"/>
  <c r="AM68" i="1"/>
  <c r="AL68" i="1"/>
  <c r="AK68" i="1"/>
  <c r="AJ68" i="1"/>
  <c r="AI68" i="1"/>
  <c r="AG68" i="1"/>
  <c r="AE68" i="1"/>
  <c r="AD68" i="1"/>
  <c r="AB68" i="1"/>
  <c r="AA68" i="1"/>
  <c r="Z68" i="1"/>
  <c r="X68" i="1"/>
  <c r="W68" i="1"/>
  <c r="V68" i="1"/>
  <c r="S68" i="1"/>
  <c r="R68" i="1"/>
  <c r="Q68" i="1"/>
  <c r="O68" i="1"/>
  <c r="M68" i="1"/>
  <c r="L68" i="1"/>
  <c r="K68" i="1"/>
  <c r="J68" i="1"/>
  <c r="I68" i="1"/>
  <c r="H68" i="1"/>
  <c r="G68" i="1"/>
  <c r="F68" i="1"/>
  <c r="E68" i="1"/>
  <c r="D68" i="1"/>
  <c r="AO67" i="1"/>
  <c r="AN67" i="1"/>
  <c r="AM67" i="1"/>
  <c r="AL67" i="1"/>
  <c r="AK67" i="1"/>
  <c r="AJ67" i="1"/>
  <c r="AI67" i="1"/>
  <c r="AG67" i="1"/>
  <c r="AE67" i="1"/>
  <c r="AD67" i="1"/>
  <c r="AB67" i="1"/>
  <c r="AA67" i="1"/>
  <c r="Z67" i="1"/>
  <c r="X67" i="1"/>
  <c r="W67" i="1"/>
  <c r="V67" i="1"/>
  <c r="S67" i="1"/>
  <c r="R67" i="1"/>
  <c r="Q67" i="1"/>
  <c r="O67" i="1"/>
  <c r="M67" i="1"/>
  <c r="L67" i="1"/>
  <c r="K67" i="1"/>
  <c r="J67" i="1"/>
  <c r="I67" i="1"/>
  <c r="H67" i="1"/>
  <c r="G67" i="1"/>
  <c r="F67" i="1"/>
  <c r="E67" i="1"/>
  <c r="D67" i="1"/>
  <c r="AO66" i="1"/>
  <c r="AN66" i="1"/>
  <c r="AM66" i="1"/>
  <c r="AL66" i="1"/>
  <c r="AK66" i="1"/>
  <c r="AJ66" i="1"/>
  <c r="AI66" i="1"/>
  <c r="AG66" i="1"/>
  <c r="AE66" i="1"/>
  <c r="AD66" i="1"/>
  <c r="AB66" i="1"/>
  <c r="AA66" i="1"/>
  <c r="Z66" i="1"/>
  <c r="X66" i="1"/>
  <c r="W66" i="1"/>
  <c r="V66" i="1"/>
  <c r="S66" i="1"/>
  <c r="R66" i="1"/>
  <c r="Q66" i="1"/>
  <c r="O66" i="1"/>
  <c r="M66" i="1"/>
  <c r="L66" i="1"/>
  <c r="K66" i="1"/>
  <c r="J66" i="1"/>
  <c r="I66" i="1"/>
  <c r="H66" i="1"/>
  <c r="G66" i="1"/>
  <c r="F66" i="1"/>
  <c r="E66" i="1"/>
  <c r="D66" i="1"/>
  <c r="AO65" i="1"/>
  <c r="AN65" i="1"/>
  <c r="AM65" i="1"/>
  <c r="AL65" i="1"/>
  <c r="AK65" i="1"/>
  <c r="AJ65" i="1"/>
  <c r="AI65" i="1"/>
  <c r="AG65" i="1"/>
  <c r="AE65" i="1"/>
  <c r="AD65" i="1"/>
  <c r="AB65" i="1"/>
  <c r="AA65" i="1"/>
  <c r="Z65" i="1"/>
  <c r="X65" i="1"/>
  <c r="W65" i="1"/>
  <c r="V65" i="1"/>
  <c r="S65" i="1"/>
  <c r="R65" i="1"/>
  <c r="Q65" i="1"/>
  <c r="O65" i="1"/>
  <c r="M65" i="1"/>
  <c r="L65" i="1"/>
  <c r="K65" i="1"/>
  <c r="J65" i="1"/>
  <c r="I65" i="1"/>
  <c r="H65" i="1"/>
  <c r="G65" i="1"/>
  <c r="F65" i="1"/>
  <c r="E65" i="1"/>
  <c r="D65" i="1"/>
  <c r="AO64" i="1"/>
  <c r="AN64" i="1"/>
  <c r="AM64" i="1"/>
  <c r="AL64" i="1"/>
  <c r="AK64" i="1"/>
  <c r="AJ64" i="1"/>
  <c r="AI64" i="1"/>
  <c r="AG64" i="1"/>
  <c r="AE64" i="1"/>
  <c r="AD64" i="1"/>
  <c r="AB64" i="1"/>
  <c r="AA64" i="1"/>
  <c r="Z64" i="1"/>
  <c r="X64" i="1"/>
  <c r="W64" i="1"/>
  <c r="V64" i="1"/>
  <c r="S64" i="1"/>
  <c r="R64" i="1"/>
  <c r="Q64" i="1"/>
  <c r="O64" i="1"/>
  <c r="M64" i="1"/>
  <c r="L64" i="1"/>
  <c r="K64" i="1"/>
  <c r="J64" i="1"/>
  <c r="I64" i="1"/>
  <c r="H64" i="1"/>
  <c r="G64" i="1"/>
  <c r="F64" i="1"/>
  <c r="E64" i="1"/>
  <c r="D64" i="1"/>
  <c r="AO63" i="1"/>
  <c r="AN63" i="1"/>
  <c r="AM63" i="1"/>
  <c r="AL63" i="1"/>
  <c r="AK63" i="1"/>
  <c r="AJ63" i="1"/>
  <c r="AI63" i="1"/>
  <c r="AG63" i="1"/>
  <c r="AE63" i="1"/>
  <c r="AD63" i="1"/>
  <c r="AB63" i="1"/>
  <c r="AA63" i="1"/>
  <c r="Z63" i="1"/>
  <c r="X63" i="1"/>
  <c r="W63" i="1"/>
  <c r="V63" i="1"/>
  <c r="S63" i="1"/>
  <c r="R63" i="1"/>
  <c r="Q63" i="1"/>
  <c r="O63" i="1"/>
  <c r="M63" i="1"/>
  <c r="L63" i="1"/>
  <c r="K63" i="1"/>
  <c r="J63" i="1"/>
  <c r="I63" i="1"/>
  <c r="H63" i="1"/>
  <c r="G63" i="1"/>
  <c r="F63" i="1"/>
  <c r="E63" i="1"/>
  <c r="D63" i="1"/>
  <c r="AO62" i="1"/>
  <c r="AN62" i="1"/>
  <c r="AM62" i="1"/>
  <c r="AL62" i="1"/>
  <c r="AK62" i="1"/>
  <c r="AJ62" i="1"/>
  <c r="AI62" i="1"/>
  <c r="AG62" i="1"/>
  <c r="AE62" i="1"/>
  <c r="AD62" i="1"/>
  <c r="AB62" i="1"/>
  <c r="AA62" i="1"/>
  <c r="Z62" i="1"/>
  <c r="X62" i="1"/>
  <c r="W62" i="1"/>
  <c r="V62" i="1"/>
  <c r="S62" i="1"/>
  <c r="R62" i="1"/>
  <c r="Q62" i="1"/>
  <c r="O62" i="1"/>
  <c r="M62" i="1"/>
  <c r="L62" i="1"/>
  <c r="K62" i="1"/>
  <c r="J62" i="1"/>
  <c r="I62" i="1"/>
  <c r="H62" i="1"/>
  <c r="G62" i="1"/>
  <c r="F62" i="1"/>
  <c r="E62" i="1"/>
  <c r="D62" i="1"/>
  <c r="AO61" i="1"/>
  <c r="AN61" i="1"/>
  <c r="AM61" i="1"/>
  <c r="AL61" i="1"/>
  <c r="AK61" i="1"/>
  <c r="AJ61" i="1"/>
  <c r="AI61" i="1"/>
  <c r="AG61" i="1"/>
  <c r="AE61" i="1"/>
  <c r="AD61" i="1"/>
  <c r="AB61" i="1"/>
  <c r="AA61" i="1"/>
  <c r="Z61" i="1"/>
  <c r="X61" i="1"/>
  <c r="W61" i="1"/>
  <c r="V61" i="1"/>
  <c r="S61" i="1"/>
  <c r="R61" i="1"/>
  <c r="Q61" i="1"/>
  <c r="O61" i="1"/>
  <c r="M61" i="1"/>
  <c r="L61" i="1"/>
  <c r="K61" i="1"/>
  <c r="J61" i="1"/>
  <c r="I61" i="1"/>
  <c r="H61" i="1"/>
  <c r="G61" i="1"/>
  <c r="F61" i="1"/>
  <c r="E61" i="1"/>
  <c r="D61" i="1"/>
  <c r="AO60" i="1"/>
  <c r="AN60" i="1"/>
  <c r="AM60" i="1"/>
  <c r="AL60" i="1"/>
  <c r="AK60" i="1"/>
  <c r="AJ60" i="1"/>
  <c r="AI60" i="1"/>
  <c r="AG60" i="1"/>
  <c r="AE60" i="1"/>
  <c r="AD60" i="1"/>
  <c r="AB60" i="1"/>
  <c r="AA60" i="1"/>
  <c r="Z60" i="1"/>
  <c r="X60" i="1"/>
  <c r="W60" i="1"/>
  <c r="V60" i="1"/>
  <c r="S60" i="1"/>
  <c r="R60" i="1"/>
  <c r="Q60" i="1"/>
  <c r="O60" i="1"/>
  <c r="M60" i="1"/>
  <c r="L60" i="1"/>
  <c r="K60" i="1"/>
  <c r="J60" i="1"/>
  <c r="I60" i="1"/>
  <c r="H60" i="1"/>
  <c r="G60" i="1"/>
  <c r="F60" i="1"/>
  <c r="E60" i="1"/>
  <c r="D60" i="1"/>
  <c r="AO59" i="1"/>
  <c r="AN59" i="1"/>
  <c r="AM59" i="1"/>
  <c r="AL59" i="1"/>
  <c r="AK59" i="1"/>
  <c r="AJ59" i="1"/>
  <c r="AI59" i="1"/>
  <c r="AG59" i="1"/>
  <c r="AE59" i="1"/>
  <c r="AD59" i="1"/>
  <c r="AB59" i="1"/>
  <c r="AA59" i="1"/>
  <c r="Z59" i="1"/>
  <c r="X59" i="1"/>
  <c r="W59" i="1"/>
  <c r="V59" i="1"/>
  <c r="S59" i="1"/>
  <c r="R59" i="1"/>
  <c r="Q59" i="1"/>
  <c r="O59" i="1"/>
  <c r="M59" i="1"/>
  <c r="L59" i="1"/>
  <c r="K59" i="1"/>
  <c r="J59" i="1"/>
  <c r="I59" i="1"/>
  <c r="H59" i="1"/>
  <c r="G59" i="1"/>
  <c r="F59" i="1"/>
  <c r="E59" i="1"/>
  <c r="D59" i="1"/>
  <c r="AO58" i="1"/>
  <c r="AN58" i="1"/>
  <c r="AM58" i="1"/>
  <c r="AL58" i="1"/>
  <c r="AK58" i="1"/>
  <c r="AJ58" i="1"/>
  <c r="AI58" i="1"/>
  <c r="AG58" i="1"/>
  <c r="AE58" i="1"/>
  <c r="AD58" i="1"/>
  <c r="AB58" i="1"/>
  <c r="AA58" i="1"/>
  <c r="Z58" i="1"/>
  <c r="X58" i="1"/>
  <c r="W58" i="1"/>
  <c r="V58" i="1"/>
  <c r="S58" i="1"/>
  <c r="R58" i="1"/>
  <c r="Q58" i="1"/>
  <c r="O58" i="1"/>
  <c r="M58" i="1"/>
  <c r="L58" i="1"/>
  <c r="K58" i="1"/>
  <c r="J58" i="1"/>
  <c r="I58" i="1"/>
  <c r="H58" i="1"/>
  <c r="G58" i="1"/>
  <c r="F58" i="1"/>
  <c r="E58" i="1"/>
  <c r="D58" i="1"/>
  <c r="AO57" i="1"/>
  <c r="AN57" i="1"/>
  <c r="AM57" i="1"/>
  <c r="AL57" i="1"/>
  <c r="AK57" i="1"/>
  <c r="AJ57" i="1"/>
  <c r="AI57" i="1"/>
  <c r="AG57" i="1"/>
  <c r="AE57" i="1"/>
  <c r="AD57" i="1"/>
  <c r="AB57" i="1"/>
  <c r="AA57" i="1"/>
  <c r="Z57" i="1"/>
  <c r="X57" i="1"/>
  <c r="W57" i="1"/>
  <c r="V57" i="1"/>
  <c r="S57" i="1"/>
  <c r="R57" i="1"/>
  <c r="Q57" i="1"/>
  <c r="O57" i="1"/>
  <c r="M57" i="1"/>
  <c r="L57" i="1"/>
  <c r="K57" i="1"/>
  <c r="J57" i="1"/>
  <c r="I57" i="1"/>
  <c r="H57" i="1"/>
  <c r="G57" i="1"/>
  <c r="F57" i="1"/>
  <c r="E57" i="1"/>
  <c r="D57" i="1"/>
  <c r="AO56" i="1"/>
  <c r="AN56" i="1"/>
  <c r="AM56" i="1"/>
  <c r="AL56" i="1"/>
  <c r="AK56" i="1"/>
  <c r="AJ56" i="1"/>
  <c r="AI56" i="1"/>
  <c r="AG56" i="1"/>
  <c r="AE56" i="1"/>
  <c r="AD56" i="1"/>
  <c r="AB56" i="1"/>
  <c r="AA56" i="1"/>
  <c r="Z56" i="1"/>
  <c r="X56" i="1"/>
  <c r="W56" i="1"/>
  <c r="V56" i="1"/>
  <c r="S56" i="1"/>
  <c r="R56" i="1"/>
  <c r="Q56" i="1"/>
  <c r="O56" i="1"/>
  <c r="M56" i="1"/>
  <c r="L56" i="1"/>
  <c r="K56" i="1"/>
  <c r="J56" i="1"/>
  <c r="I56" i="1"/>
  <c r="H56" i="1"/>
  <c r="G56" i="1"/>
  <c r="F56" i="1"/>
  <c r="E56" i="1"/>
  <c r="D56" i="1"/>
  <c r="AO55" i="1"/>
  <c r="AN55" i="1"/>
  <c r="AM55" i="1"/>
  <c r="AL55" i="1"/>
  <c r="AK55" i="1"/>
  <c r="AJ55" i="1"/>
  <c r="AI55" i="1"/>
  <c r="AG55" i="1"/>
  <c r="AE55" i="1"/>
  <c r="AD55" i="1"/>
  <c r="AB55" i="1"/>
  <c r="AA55" i="1"/>
  <c r="Z55" i="1"/>
  <c r="X55" i="1"/>
  <c r="W55" i="1"/>
  <c r="V55" i="1"/>
  <c r="S55" i="1"/>
  <c r="R55" i="1"/>
  <c r="Q55" i="1"/>
  <c r="O55" i="1"/>
  <c r="M55" i="1"/>
  <c r="L55" i="1"/>
  <c r="K55" i="1"/>
  <c r="J55" i="1"/>
  <c r="I55" i="1"/>
  <c r="H55" i="1"/>
  <c r="G55" i="1"/>
  <c r="F55" i="1"/>
  <c r="E55" i="1"/>
  <c r="D55" i="1"/>
  <c r="AO54" i="1"/>
  <c r="AN54" i="1"/>
  <c r="AM54" i="1"/>
  <c r="AL54" i="1"/>
  <c r="AK54" i="1"/>
  <c r="AJ54" i="1"/>
  <c r="AI54" i="1"/>
  <c r="AG54" i="1"/>
  <c r="AE54" i="1"/>
  <c r="AD54" i="1"/>
  <c r="AB54" i="1"/>
  <c r="AA54" i="1"/>
  <c r="Z54" i="1"/>
  <c r="X54" i="1"/>
  <c r="W54" i="1"/>
  <c r="V54" i="1"/>
  <c r="S54" i="1"/>
  <c r="R54" i="1"/>
  <c r="Q54" i="1"/>
  <c r="O54" i="1"/>
  <c r="M54" i="1"/>
  <c r="L54" i="1"/>
  <c r="K54" i="1"/>
  <c r="J54" i="1"/>
  <c r="I54" i="1"/>
  <c r="H54" i="1"/>
  <c r="G54" i="1"/>
  <c r="F54" i="1"/>
  <c r="E54" i="1"/>
  <c r="D54" i="1"/>
  <c r="AO53" i="1"/>
  <c r="AN53" i="1"/>
  <c r="AM53" i="1"/>
  <c r="AL53" i="1"/>
  <c r="AK53" i="1"/>
  <c r="AJ53" i="1"/>
  <c r="AI53" i="1"/>
  <c r="AG53" i="1"/>
  <c r="AE53" i="1"/>
  <c r="AD53" i="1"/>
  <c r="AB53" i="1"/>
  <c r="AA53" i="1"/>
  <c r="Z53" i="1"/>
  <c r="X53" i="1"/>
  <c r="W53" i="1"/>
  <c r="V53" i="1"/>
  <c r="S53" i="1"/>
  <c r="R53" i="1"/>
  <c r="Q53" i="1"/>
  <c r="O53" i="1"/>
  <c r="M53" i="1"/>
  <c r="L53" i="1"/>
  <c r="K53" i="1"/>
  <c r="J53" i="1"/>
  <c r="I53" i="1"/>
  <c r="H53" i="1"/>
  <c r="G53" i="1"/>
  <c r="F53" i="1"/>
  <c r="E53" i="1"/>
  <c r="D53" i="1"/>
  <c r="AO52" i="1"/>
  <c r="AN52" i="1"/>
  <c r="AM52" i="1"/>
  <c r="AL52" i="1"/>
  <c r="AK52" i="1"/>
  <c r="AJ52" i="1"/>
  <c r="AI52" i="1"/>
  <c r="AG52" i="1"/>
  <c r="AE52" i="1"/>
  <c r="AD52" i="1"/>
  <c r="AB52" i="1"/>
  <c r="AA52" i="1"/>
  <c r="Z52" i="1"/>
  <c r="X52" i="1"/>
  <c r="W52" i="1"/>
  <c r="V52" i="1"/>
  <c r="S52" i="1"/>
  <c r="R52" i="1"/>
  <c r="Q52" i="1"/>
  <c r="O52" i="1"/>
  <c r="M52" i="1"/>
  <c r="L52" i="1"/>
  <c r="K52" i="1"/>
  <c r="J52" i="1"/>
  <c r="I52" i="1"/>
  <c r="H52" i="1"/>
  <c r="G52" i="1"/>
  <c r="F52" i="1"/>
  <c r="E52" i="1"/>
  <c r="D52" i="1"/>
  <c r="AO51" i="1"/>
  <c r="AN51" i="1"/>
  <c r="AM51" i="1"/>
  <c r="AL51" i="1"/>
  <c r="AK51" i="1"/>
  <c r="AJ51" i="1"/>
  <c r="AI51" i="1"/>
  <c r="AG51" i="1"/>
  <c r="AE51" i="1"/>
  <c r="AD51" i="1"/>
  <c r="AB51" i="1"/>
  <c r="AA51" i="1"/>
  <c r="Z51" i="1"/>
  <c r="X51" i="1"/>
  <c r="W51" i="1"/>
  <c r="V51" i="1"/>
  <c r="S51" i="1"/>
  <c r="R51" i="1"/>
  <c r="Q51" i="1"/>
  <c r="O51" i="1"/>
  <c r="M51" i="1"/>
  <c r="L51" i="1"/>
  <c r="K51" i="1"/>
  <c r="J51" i="1"/>
  <c r="I51" i="1"/>
  <c r="H51" i="1"/>
  <c r="G51" i="1"/>
  <c r="F51" i="1"/>
  <c r="E51" i="1"/>
  <c r="D51" i="1"/>
  <c r="AO50" i="1"/>
  <c r="AN50" i="1"/>
  <c r="AM50" i="1"/>
  <c r="AL50" i="1"/>
  <c r="AK50" i="1"/>
  <c r="AJ50" i="1"/>
  <c r="AI50" i="1"/>
  <c r="AG50" i="1"/>
  <c r="AE50" i="1"/>
  <c r="AD50" i="1"/>
  <c r="AB50" i="1"/>
  <c r="AA50" i="1"/>
  <c r="Z50" i="1"/>
  <c r="X50" i="1"/>
  <c r="W50" i="1"/>
  <c r="V50" i="1"/>
  <c r="S50" i="1"/>
  <c r="R50" i="1"/>
  <c r="Q50" i="1"/>
  <c r="O50" i="1"/>
  <c r="M50" i="1"/>
  <c r="L50" i="1"/>
  <c r="K50" i="1"/>
  <c r="J50" i="1"/>
  <c r="I50" i="1"/>
  <c r="H50" i="1"/>
  <c r="G50" i="1"/>
  <c r="F50" i="1"/>
  <c r="E50" i="1"/>
  <c r="D50" i="1"/>
  <c r="AO49" i="1"/>
  <c r="AN49" i="1"/>
  <c r="AM49" i="1"/>
  <c r="AL49" i="1"/>
  <c r="AK49" i="1"/>
  <c r="AJ49" i="1"/>
  <c r="AI49" i="1"/>
  <c r="AG49" i="1"/>
  <c r="AE49" i="1"/>
  <c r="AD49" i="1"/>
  <c r="AB49" i="1"/>
  <c r="AA49" i="1"/>
  <c r="Z49" i="1"/>
  <c r="X49" i="1"/>
  <c r="W49" i="1"/>
  <c r="V49" i="1"/>
  <c r="S49" i="1"/>
  <c r="R49" i="1"/>
  <c r="Q49" i="1"/>
  <c r="O49" i="1"/>
  <c r="M49" i="1"/>
  <c r="L49" i="1"/>
  <c r="K49" i="1"/>
  <c r="J49" i="1"/>
  <c r="I49" i="1"/>
  <c r="H49" i="1"/>
  <c r="G49" i="1"/>
  <c r="F49" i="1"/>
  <c r="E49" i="1"/>
  <c r="D49" i="1"/>
  <c r="AO48" i="1"/>
  <c r="AN48" i="1"/>
  <c r="AM48" i="1"/>
  <c r="AL48" i="1"/>
  <c r="AK48" i="1"/>
  <c r="AJ48" i="1"/>
  <c r="AI48" i="1"/>
  <c r="AG48" i="1"/>
  <c r="AE48" i="1"/>
  <c r="AD48" i="1"/>
  <c r="AB48" i="1"/>
  <c r="AA48" i="1"/>
  <c r="Z48" i="1"/>
  <c r="X48" i="1"/>
  <c r="W48" i="1"/>
  <c r="V48" i="1"/>
  <c r="S48" i="1"/>
  <c r="R48" i="1"/>
  <c r="Q48" i="1"/>
  <c r="O48" i="1"/>
  <c r="M48" i="1"/>
  <c r="L48" i="1"/>
  <c r="K48" i="1"/>
  <c r="J48" i="1"/>
  <c r="I48" i="1"/>
  <c r="H48" i="1"/>
  <c r="G48" i="1"/>
  <c r="F48" i="1"/>
  <c r="E48" i="1"/>
  <c r="D48" i="1"/>
  <c r="AO47" i="1"/>
  <c r="AN47" i="1"/>
  <c r="AM47" i="1"/>
  <c r="AL47" i="1"/>
  <c r="AK47" i="1"/>
  <c r="AJ47" i="1"/>
  <c r="AI47" i="1"/>
  <c r="AG47" i="1"/>
  <c r="AE47" i="1"/>
  <c r="AD47" i="1"/>
  <c r="AB47" i="1"/>
  <c r="AA47" i="1"/>
  <c r="Z47" i="1"/>
  <c r="X47" i="1"/>
  <c r="W47" i="1"/>
  <c r="V47" i="1"/>
  <c r="S47" i="1"/>
  <c r="R47" i="1"/>
  <c r="Q47" i="1"/>
  <c r="O47" i="1"/>
  <c r="M47" i="1"/>
  <c r="L47" i="1"/>
  <c r="K47" i="1"/>
  <c r="J47" i="1"/>
  <c r="I47" i="1"/>
  <c r="H47" i="1"/>
  <c r="G47" i="1"/>
  <c r="F47" i="1"/>
  <c r="E47" i="1"/>
  <c r="D47" i="1"/>
  <c r="AO46" i="1"/>
  <c r="AN46" i="1"/>
  <c r="AM46" i="1"/>
  <c r="AL46" i="1"/>
  <c r="AK46" i="1"/>
  <c r="AJ46" i="1"/>
  <c r="AI46" i="1"/>
  <c r="AG46" i="1"/>
  <c r="AE46" i="1"/>
  <c r="AD46" i="1"/>
  <c r="AB46" i="1"/>
  <c r="AA46" i="1"/>
  <c r="Z46" i="1"/>
  <c r="X46" i="1"/>
  <c r="W46" i="1"/>
  <c r="V46" i="1"/>
  <c r="S46" i="1"/>
  <c r="R46" i="1"/>
  <c r="Q46" i="1"/>
  <c r="O46" i="1"/>
  <c r="M46" i="1"/>
  <c r="L46" i="1"/>
  <c r="K46" i="1"/>
  <c r="J46" i="1"/>
  <c r="I46" i="1"/>
  <c r="H46" i="1"/>
  <c r="G46" i="1"/>
  <c r="F46" i="1"/>
  <c r="E46" i="1"/>
  <c r="D46" i="1"/>
  <c r="AO45" i="1"/>
  <c r="AN45" i="1"/>
  <c r="AM45" i="1"/>
  <c r="AL45" i="1"/>
  <c r="AK45" i="1"/>
  <c r="AJ45" i="1"/>
  <c r="AI45" i="1"/>
  <c r="AG45" i="1"/>
  <c r="AE45" i="1"/>
  <c r="AD45" i="1"/>
  <c r="AB45" i="1"/>
  <c r="AA45" i="1"/>
  <c r="Z45" i="1"/>
  <c r="X45" i="1"/>
  <c r="W45" i="1"/>
  <c r="V45" i="1"/>
  <c r="S45" i="1"/>
  <c r="R45" i="1"/>
  <c r="Q45" i="1"/>
  <c r="O45" i="1"/>
  <c r="M45" i="1"/>
  <c r="L45" i="1"/>
  <c r="K45" i="1"/>
  <c r="J45" i="1"/>
  <c r="I45" i="1"/>
  <c r="H45" i="1"/>
  <c r="G45" i="1"/>
  <c r="F45" i="1"/>
  <c r="E45" i="1"/>
  <c r="D45" i="1"/>
  <c r="AO44" i="1"/>
  <c r="AN44" i="1"/>
  <c r="AM44" i="1"/>
  <c r="AL44" i="1"/>
  <c r="AK44" i="1"/>
  <c r="AJ44" i="1"/>
  <c r="AI44" i="1"/>
  <c r="AG44" i="1"/>
  <c r="AE44" i="1"/>
  <c r="AD44" i="1"/>
  <c r="AB44" i="1"/>
  <c r="AA44" i="1"/>
  <c r="Z44" i="1"/>
  <c r="X44" i="1"/>
  <c r="W44" i="1"/>
  <c r="V44" i="1"/>
  <c r="S44" i="1"/>
  <c r="R44" i="1"/>
  <c r="Q44" i="1"/>
  <c r="O44" i="1"/>
  <c r="M44" i="1"/>
  <c r="L44" i="1"/>
  <c r="K44" i="1"/>
  <c r="J44" i="1"/>
  <c r="I44" i="1"/>
  <c r="H44" i="1"/>
  <c r="G44" i="1"/>
  <c r="F44" i="1"/>
  <c r="E44" i="1"/>
  <c r="D44" i="1"/>
  <c r="AO43" i="1"/>
  <c r="AN43" i="1"/>
  <c r="AM43" i="1"/>
  <c r="AL43" i="1"/>
  <c r="AK43" i="1"/>
  <c r="AJ43" i="1"/>
  <c r="AI43" i="1"/>
  <c r="AG43" i="1"/>
  <c r="AE43" i="1"/>
  <c r="AD43" i="1"/>
  <c r="AB43" i="1"/>
  <c r="AA43" i="1"/>
  <c r="Z43" i="1"/>
  <c r="X43" i="1"/>
  <c r="W43" i="1"/>
  <c r="V43" i="1"/>
  <c r="S43" i="1"/>
  <c r="R43" i="1"/>
  <c r="Q43" i="1"/>
  <c r="O43" i="1"/>
  <c r="M43" i="1"/>
  <c r="L43" i="1"/>
  <c r="K43" i="1"/>
  <c r="J43" i="1"/>
  <c r="I43" i="1"/>
  <c r="H43" i="1"/>
  <c r="G43" i="1"/>
  <c r="F43" i="1"/>
  <c r="E43" i="1"/>
  <c r="D43" i="1"/>
  <c r="AO42" i="1"/>
  <c r="AN42" i="1"/>
  <c r="AM42" i="1"/>
  <c r="AL42" i="1"/>
  <c r="AK42" i="1"/>
  <c r="AJ42" i="1"/>
  <c r="AI42" i="1"/>
  <c r="AG42" i="1"/>
  <c r="AE42" i="1"/>
  <c r="AD42" i="1"/>
  <c r="AB42" i="1"/>
  <c r="AA42" i="1"/>
  <c r="Z42" i="1"/>
  <c r="X42" i="1"/>
  <c r="W42" i="1"/>
  <c r="V42" i="1"/>
  <c r="S42" i="1"/>
  <c r="R42" i="1"/>
  <c r="Q42" i="1"/>
  <c r="O42" i="1"/>
  <c r="M42" i="1"/>
  <c r="L42" i="1"/>
  <c r="K42" i="1"/>
  <c r="J42" i="1"/>
  <c r="I42" i="1"/>
  <c r="H42" i="1"/>
  <c r="G42" i="1"/>
  <c r="F42" i="1"/>
  <c r="E42" i="1"/>
  <c r="D42" i="1"/>
  <c r="AO41" i="1"/>
  <c r="AN41" i="1"/>
  <c r="AM41" i="1"/>
  <c r="AL41" i="1"/>
  <c r="AK41" i="1"/>
  <c r="AJ41" i="1"/>
  <c r="AI41" i="1"/>
  <c r="AG41" i="1"/>
  <c r="AE41" i="1"/>
  <c r="AD41" i="1"/>
  <c r="AB41" i="1"/>
  <c r="AA41" i="1"/>
  <c r="Z41" i="1"/>
  <c r="X41" i="1"/>
  <c r="W41" i="1"/>
  <c r="V41" i="1"/>
  <c r="S41" i="1"/>
  <c r="R41" i="1"/>
  <c r="Q41" i="1"/>
  <c r="O41" i="1"/>
  <c r="M41" i="1"/>
  <c r="L41" i="1"/>
  <c r="K41" i="1"/>
  <c r="J41" i="1"/>
  <c r="I41" i="1"/>
  <c r="H41" i="1"/>
  <c r="G41" i="1"/>
  <c r="F41" i="1"/>
  <c r="E41" i="1"/>
  <c r="D41" i="1"/>
  <c r="AO40" i="1"/>
  <c r="AN40" i="1"/>
  <c r="AM40" i="1"/>
  <c r="AL40" i="1"/>
  <c r="AK40" i="1"/>
  <c r="AJ40" i="1"/>
  <c r="AI40" i="1"/>
  <c r="AG40" i="1"/>
  <c r="AE40" i="1"/>
  <c r="AD40" i="1"/>
  <c r="AB40" i="1"/>
  <c r="AA40" i="1"/>
  <c r="Z40" i="1"/>
  <c r="X40" i="1"/>
  <c r="W40" i="1"/>
  <c r="V40" i="1"/>
  <c r="S40" i="1"/>
  <c r="R40" i="1"/>
  <c r="Q40" i="1"/>
  <c r="O40" i="1"/>
  <c r="M40" i="1"/>
  <c r="L40" i="1"/>
  <c r="K40" i="1"/>
  <c r="J40" i="1"/>
  <c r="I40" i="1"/>
  <c r="H40" i="1"/>
  <c r="G40" i="1"/>
  <c r="F40" i="1"/>
  <c r="E40" i="1"/>
  <c r="D40" i="1"/>
  <c r="AO39" i="1"/>
  <c r="AN39" i="1"/>
  <c r="AM39" i="1"/>
  <c r="AL39" i="1"/>
  <c r="AK39" i="1"/>
  <c r="AJ39" i="1"/>
  <c r="AI39" i="1"/>
  <c r="AG39" i="1"/>
  <c r="AE39" i="1"/>
  <c r="AD39" i="1"/>
  <c r="AB39" i="1"/>
  <c r="AA39" i="1"/>
  <c r="Z39" i="1"/>
  <c r="X39" i="1"/>
  <c r="W39" i="1"/>
  <c r="V39" i="1"/>
  <c r="S39" i="1"/>
  <c r="R39" i="1"/>
  <c r="Q39" i="1"/>
  <c r="O39" i="1"/>
  <c r="M39" i="1"/>
  <c r="L39" i="1"/>
  <c r="K39" i="1"/>
  <c r="J39" i="1"/>
  <c r="I39" i="1"/>
  <c r="H39" i="1"/>
  <c r="G39" i="1"/>
  <c r="F39" i="1"/>
  <c r="E39" i="1"/>
  <c r="D39" i="1"/>
  <c r="AO38" i="1"/>
  <c r="AN38" i="1"/>
  <c r="AM38" i="1"/>
  <c r="AL38" i="1"/>
  <c r="AK38" i="1"/>
  <c r="AJ38" i="1"/>
  <c r="AI38" i="1"/>
  <c r="AG38" i="1"/>
  <c r="AE38" i="1"/>
  <c r="AD38" i="1"/>
  <c r="AB38" i="1"/>
  <c r="AA38" i="1"/>
  <c r="Z38" i="1"/>
  <c r="X38" i="1"/>
  <c r="W38" i="1"/>
  <c r="V38" i="1"/>
  <c r="S38" i="1"/>
  <c r="R38" i="1"/>
  <c r="Q38" i="1"/>
  <c r="O38" i="1"/>
  <c r="M38" i="1"/>
  <c r="L38" i="1"/>
  <c r="K38" i="1"/>
  <c r="J38" i="1"/>
  <c r="I38" i="1"/>
  <c r="H38" i="1"/>
  <c r="G38" i="1"/>
  <c r="F38" i="1"/>
  <c r="E38" i="1"/>
  <c r="D38" i="1"/>
  <c r="AO37" i="1"/>
  <c r="AN37" i="1"/>
  <c r="AM37" i="1"/>
  <c r="AL37" i="1"/>
  <c r="AK37" i="1"/>
  <c r="AJ37" i="1"/>
  <c r="AI37" i="1"/>
  <c r="AG37" i="1"/>
  <c r="AE37" i="1"/>
  <c r="AD37" i="1"/>
  <c r="AB37" i="1"/>
  <c r="AA37" i="1"/>
  <c r="Z37" i="1"/>
  <c r="X37" i="1"/>
  <c r="W37" i="1"/>
  <c r="V37" i="1"/>
  <c r="S37" i="1"/>
  <c r="R37" i="1"/>
  <c r="Q37" i="1"/>
  <c r="O37" i="1"/>
  <c r="M37" i="1"/>
  <c r="L37" i="1"/>
  <c r="K37" i="1"/>
  <c r="J37" i="1"/>
  <c r="I37" i="1"/>
  <c r="H37" i="1"/>
  <c r="G37" i="1"/>
  <c r="F37" i="1"/>
  <c r="E37" i="1"/>
  <c r="D37" i="1"/>
  <c r="AO36" i="1"/>
  <c r="AN36" i="1"/>
  <c r="AM36" i="1"/>
  <c r="AL36" i="1"/>
  <c r="AK36" i="1"/>
  <c r="AJ36" i="1"/>
  <c r="AI36" i="1"/>
  <c r="AG36" i="1"/>
  <c r="AE36" i="1"/>
  <c r="AD36" i="1"/>
  <c r="AB36" i="1"/>
  <c r="AA36" i="1"/>
  <c r="Z36" i="1"/>
  <c r="X36" i="1"/>
  <c r="W36" i="1"/>
  <c r="V36" i="1"/>
  <c r="S36" i="1"/>
  <c r="R36" i="1"/>
  <c r="Q36" i="1"/>
  <c r="O36" i="1"/>
  <c r="M36" i="1"/>
  <c r="L36" i="1"/>
  <c r="K36" i="1"/>
  <c r="J36" i="1"/>
  <c r="I36" i="1"/>
  <c r="H36" i="1"/>
  <c r="G36" i="1"/>
  <c r="F36" i="1"/>
  <c r="E36" i="1"/>
  <c r="D36" i="1"/>
  <c r="AO35" i="1"/>
  <c r="AN35" i="1"/>
  <c r="AM35" i="1"/>
  <c r="AL35" i="1"/>
  <c r="AK35" i="1"/>
  <c r="AJ35" i="1"/>
  <c r="AI35" i="1"/>
  <c r="AG35" i="1"/>
  <c r="AE35" i="1"/>
  <c r="AD35" i="1"/>
  <c r="AB35" i="1"/>
  <c r="AA35" i="1"/>
  <c r="Z35" i="1"/>
  <c r="X35" i="1"/>
  <c r="W35" i="1"/>
  <c r="V35" i="1"/>
  <c r="S35" i="1"/>
  <c r="R35" i="1"/>
  <c r="Q35" i="1"/>
  <c r="O35" i="1"/>
  <c r="M35" i="1"/>
  <c r="L35" i="1"/>
  <c r="K35" i="1"/>
  <c r="J35" i="1"/>
  <c r="I35" i="1"/>
  <c r="H35" i="1"/>
  <c r="G35" i="1"/>
  <c r="F35" i="1"/>
  <c r="E35" i="1"/>
  <c r="D35" i="1"/>
  <c r="AO34" i="1"/>
  <c r="AN34" i="1"/>
  <c r="AM34" i="1"/>
  <c r="AL34" i="1"/>
  <c r="AK34" i="1"/>
  <c r="AJ34" i="1"/>
  <c r="AI34" i="1"/>
  <c r="AG34" i="1"/>
  <c r="AE34" i="1"/>
  <c r="AD34" i="1"/>
  <c r="AB34" i="1"/>
  <c r="AA34" i="1"/>
  <c r="Z34" i="1"/>
  <c r="X34" i="1"/>
  <c r="W34" i="1"/>
  <c r="V34" i="1"/>
  <c r="S34" i="1"/>
  <c r="R34" i="1"/>
  <c r="Q34" i="1"/>
  <c r="O34" i="1"/>
  <c r="M34" i="1"/>
  <c r="L34" i="1"/>
  <c r="K34" i="1"/>
  <c r="J34" i="1"/>
  <c r="I34" i="1"/>
  <c r="H34" i="1"/>
  <c r="G34" i="1"/>
  <c r="F34" i="1"/>
  <c r="E34" i="1"/>
  <c r="D34" i="1"/>
  <c r="AO33" i="1"/>
  <c r="AN33" i="1"/>
  <c r="AM33" i="1"/>
  <c r="AL33" i="1"/>
  <c r="AK33" i="1"/>
  <c r="AJ33" i="1"/>
  <c r="AI33" i="1"/>
  <c r="AG33" i="1"/>
  <c r="AE33" i="1"/>
  <c r="AD33" i="1"/>
  <c r="AB33" i="1"/>
  <c r="AA33" i="1"/>
  <c r="Z33" i="1"/>
  <c r="X33" i="1"/>
  <c r="W33" i="1"/>
  <c r="V33" i="1"/>
  <c r="S33" i="1"/>
  <c r="R33" i="1"/>
  <c r="Q33" i="1"/>
  <c r="O33" i="1"/>
  <c r="M33" i="1"/>
  <c r="L33" i="1"/>
  <c r="K33" i="1"/>
  <c r="J33" i="1"/>
  <c r="I33" i="1"/>
  <c r="H33" i="1"/>
  <c r="G33" i="1"/>
  <c r="F33" i="1"/>
  <c r="E33" i="1"/>
  <c r="D33" i="1"/>
  <c r="AO32" i="1"/>
  <c r="AN32" i="1"/>
  <c r="AM32" i="1"/>
  <c r="AL32" i="1"/>
  <c r="AK32" i="1"/>
  <c r="AJ32" i="1"/>
  <c r="AI32" i="1"/>
  <c r="AG32" i="1"/>
  <c r="AE32" i="1"/>
  <c r="AD32" i="1"/>
  <c r="AB32" i="1"/>
  <c r="AA32" i="1"/>
  <c r="Z32" i="1"/>
  <c r="X32" i="1"/>
  <c r="W32" i="1"/>
  <c r="V32" i="1"/>
  <c r="S32" i="1"/>
  <c r="R32" i="1"/>
  <c r="Q32" i="1"/>
  <c r="O32" i="1"/>
  <c r="M32" i="1"/>
  <c r="L32" i="1"/>
  <c r="K32" i="1"/>
  <c r="J32" i="1"/>
  <c r="I32" i="1"/>
  <c r="H32" i="1"/>
  <c r="G32" i="1"/>
  <c r="F32" i="1"/>
  <c r="E32" i="1"/>
  <c r="D32" i="1"/>
  <c r="AO31" i="1"/>
  <c r="AN31" i="1"/>
  <c r="AM31" i="1"/>
  <c r="AL31" i="1"/>
  <c r="AK31" i="1"/>
  <c r="AJ31" i="1"/>
  <c r="AI31" i="1"/>
  <c r="AG31" i="1"/>
  <c r="AE31" i="1"/>
  <c r="AD31" i="1"/>
  <c r="AB31" i="1"/>
  <c r="AA31" i="1"/>
  <c r="Z31" i="1"/>
  <c r="X31" i="1"/>
  <c r="W31" i="1"/>
  <c r="V31" i="1"/>
  <c r="S31" i="1"/>
  <c r="R31" i="1"/>
  <c r="Q31" i="1"/>
  <c r="O31" i="1"/>
  <c r="M31" i="1"/>
  <c r="L31" i="1"/>
  <c r="K31" i="1"/>
  <c r="J31" i="1"/>
  <c r="I31" i="1"/>
  <c r="H31" i="1"/>
  <c r="G31" i="1"/>
  <c r="F31" i="1"/>
  <c r="E31" i="1"/>
  <c r="D31" i="1"/>
  <c r="AO30" i="1"/>
  <c r="AN30" i="1"/>
  <c r="AM30" i="1"/>
  <c r="AL30" i="1"/>
  <c r="AK30" i="1"/>
  <c r="AJ30" i="1"/>
  <c r="AI30" i="1"/>
  <c r="AG30" i="1"/>
  <c r="AE30" i="1"/>
  <c r="AD30" i="1"/>
  <c r="AB30" i="1"/>
  <c r="AA30" i="1"/>
  <c r="Z30" i="1"/>
  <c r="X30" i="1"/>
  <c r="W30" i="1"/>
  <c r="V30" i="1"/>
  <c r="S30" i="1"/>
  <c r="R30" i="1"/>
  <c r="Q30" i="1"/>
  <c r="O30" i="1"/>
  <c r="M30" i="1"/>
  <c r="L30" i="1"/>
  <c r="K30" i="1"/>
  <c r="J30" i="1"/>
  <c r="I30" i="1"/>
  <c r="H30" i="1"/>
  <c r="G30" i="1"/>
  <c r="F30" i="1"/>
  <c r="E30" i="1"/>
  <c r="D30" i="1"/>
  <c r="AO29" i="1"/>
  <c r="AN29" i="1"/>
  <c r="AM29" i="1"/>
  <c r="AL29" i="1"/>
  <c r="AK29" i="1"/>
  <c r="AJ29" i="1"/>
  <c r="AI29" i="1"/>
  <c r="AG29" i="1"/>
  <c r="AE29" i="1"/>
  <c r="AD29" i="1"/>
  <c r="AB29" i="1"/>
  <c r="AA29" i="1"/>
  <c r="Z29" i="1"/>
  <c r="X29" i="1"/>
  <c r="W29" i="1"/>
  <c r="V29" i="1"/>
  <c r="S29" i="1"/>
  <c r="R29" i="1"/>
  <c r="Q29" i="1"/>
  <c r="O29" i="1"/>
  <c r="M29" i="1"/>
  <c r="L29" i="1"/>
  <c r="K29" i="1"/>
  <c r="J29" i="1"/>
  <c r="I29" i="1"/>
  <c r="H29" i="1"/>
  <c r="G29" i="1"/>
  <c r="F29" i="1"/>
  <c r="E29" i="1"/>
  <c r="D29" i="1"/>
  <c r="AO28" i="1"/>
  <c r="AN28" i="1"/>
  <c r="AM28" i="1"/>
  <c r="AL28" i="1"/>
  <c r="AK28" i="1"/>
  <c r="AJ28" i="1"/>
  <c r="AI28" i="1"/>
  <c r="AG28" i="1"/>
  <c r="AE28" i="1"/>
  <c r="AD28" i="1"/>
  <c r="AB28" i="1"/>
  <c r="AA28" i="1"/>
  <c r="Z28" i="1"/>
  <c r="X28" i="1"/>
  <c r="W28" i="1"/>
  <c r="V28" i="1"/>
  <c r="S28" i="1"/>
  <c r="R28" i="1"/>
  <c r="Q28" i="1"/>
  <c r="O28" i="1"/>
  <c r="M28" i="1"/>
  <c r="L28" i="1"/>
  <c r="K28" i="1"/>
  <c r="J28" i="1"/>
  <c r="I28" i="1"/>
  <c r="H28" i="1"/>
  <c r="G28" i="1"/>
  <c r="F28" i="1"/>
  <c r="E28" i="1"/>
  <c r="D28" i="1"/>
  <c r="AO27" i="1"/>
  <c r="AN27" i="1"/>
  <c r="AM27" i="1"/>
  <c r="AL27" i="1"/>
  <c r="AK27" i="1"/>
  <c r="AJ27" i="1"/>
  <c r="AI27" i="1"/>
  <c r="AG27" i="1"/>
  <c r="AE27" i="1"/>
  <c r="AD27" i="1"/>
  <c r="AB27" i="1"/>
  <c r="AA27" i="1"/>
  <c r="Z27" i="1"/>
  <c r="X27" i="1"/>
  <c r="W27" i="1"/>
  <c r="V27" i="1"/>
  <c r="S27" i="1"/>
  <c r="R27" i="1"/>
  <c r="Q27" i="1"/>
  <c r="O27" i="1"/>
  <c r="M27" i="1"/>
  <c r="L27" i="1"/>
  <c r="K27" i="1"/>
  <c r="J27" i="1"/>
  <c r="I27" i="1"/>
  <c r="H27" i="1"/>
  <c r="G27" i="1"/>
  <c r="F27" i="1"/>
  <c r="E27" i="1"/>
  <c r="D27" i="1"/>
  <c r="AO26" i="1"/>
  <c r="AN26" i="1"/>
  <c r="AM26" i="1"/>
  <c r="AL26" i="1"/>
  <c r="AK26" i="1"/>
  <c r="AJ26" i="1"/>
  <c r="AI26" i="1"/>
  <c r="AG26" i="1"/>
  <c r="AE26" i="1"/>
  <c r="AD26" i="1"/>
  <c r="AB26" i="1"/>
  <c r="AA26" i="1"/>
  <c r="Z26" i="1"/>
  <c r="X26" i="1"/>
  <c r="W26" i="1"/>
  <c r="V26" i="1"/>
  <c r="S26" i="1"/>
  <c r="R26" i="1"/>
  <c r="Q26" i="1"/>
  <c r="O26" i="1"/>
  <c r="M26" i="1"/>
  <c r="L26" i="1"/>
  <c r="K26" i="1"/>
  <c r="J26" i="1"/>
  <c r="I26" i="1"/>
  <c r="H26" i="1"/>
  <c r="G26" i="1"/>
  <c r="F26" i="1"/>
  <c r="E26" i="1"/>
  <c r="D26" i="1"/>
  <c r="AO25" i="1"/>
  <c r="AN25" i="1"/>
  <c r="AM25" i="1"/>
  <c r="AL25" i="1"/>
  <c r="AK25" i="1"/>
  <c r="AJ25" i="1"/>
  <c r="AI25" i="1"/>
  <c r="AG25" i="1"/>
  <c r="AE25" i="1"/>
  <c r="AD25" i="1"/>
  <c r="AB25" i="1"/>
  <c r="AA25" i="1"/>
  <c r="Z25" i="1"/>
  <c r="X25" i="1"/>
  <c r="W25" i="1"/>
  <c r="V25" i="1"/>
  <c r="S25" i="1"/>
  <c r="R25" i="1"/>
  <c r="Q25" i="1"/>
  <c r="O25" i="1"/>
  <c r="M25" i="1"/>
  <c r="L25" i="1"/>
  <c r="K25" i="1"/>
  <c r="J25" i="1"/>
  <c r="I25" i="1"/>
  <c r="H25" i="1"/>
  <c r="G25" i="1"/>
  <c r="F25" i="1"/>
  <c r="E25" i="1"/>
  <c r="D25" i="1"/>
  <c r="AO24" i="1"/>
  <c r="AN24" i="1"/>
  <c r="AM24" i="1"/>
  <c r="AL24" i="1"/>
  <c r="AK24" i="1"/>
  <c r="AJ24" i="1"/>
  <c r="AI24" i="1"/>
  <c r="AG24" i="1"/>
  <c r="AE24" i="1"/>
  <c r="AD24" i="1"/>
  <c r="AB24" i="1"/>
  <c r="AA24" i="1"/>
  <c r="Z24" i="1"/>
  <c r="X24" i="1"/>
  <c r="W24" i="1"/>
  <c r="V24" i="1"/>
  <c r="S24" i="1"/>
  <c r="R24" i="1"/>
  <c r="Q24" i="1"/>
  <c r="O24" i="1"/>
  <c r="M24" i="1"/>
  <c r="L24" i="1"/>
  <c r="K24" i="1"/>
  <c r="J24" i="1"/>
  <c r="I24" i="1"/>
  <c r="H24" i="1"/>
  <c r="G24" i="1"/>
  <c r="F24" i="1"/>
  <c r="E24" i="1"/>
  <c r="D24" i="1"/>
  <c r="AO23" i="1"/>
  <c r="AN23" i="1"/>
  <c r="AM23" i="1"/>
  <c r="AL23" i="1"/>
  <c r="AK23" i="1"/>
  <c r="AJ23" i="1"/>
  <c r="AI23" i="1"/>
  <c r="AG23" i="1"/>
  <c r="AE23" i="1"/>
  <c r="AD23" i="1"/>
  <c r="AB23" i="1"/>
  <c r="AA23" i="1"/>
  <c r="Z23" i="1"/>
  <c r="X23" i="1"/>
  <c r="W23" i="1"/>
  <c r="V23" i="1"/>
  <c r="S23" i="1"/>
  <c r="R23" i="1"/>
  <c r="Q23" i="1"/>
  <c r="O23" i="1"/>
  <c r="M23" i="1"/>
  <c r="L23" i="1"/>
  <c r="K23" i="1"/>
  <c r="J23" i="1"/>
  <c r="I23" i="1"/>
  <c r="H23" i="1"/>
  <c r="G23" i="1"/>
  <c r="F23" i="1"/>
  <c r="E23" i="1"/>
  <c r="D23" i="1"/>
  <c r="AO22" i="1"/>
  <c r="AN22" i="1"/>
  <c r="AM22" i="1"/>
  <c r="AL22" i="1"/>
  <c r="AK22" i="1"/>
  <c r="AJ22" i="1"/>
  <c r="AI22" i="1"/>
  <c r="AG22" i="1"/>
  <c r="AE22" i="1"/>
  <c r="AD22" i="1"/>
  <c r="AB22" i="1"/>
  <c r="AA22" i="1"/>
  <c r="Z22" i="1"/>
  <c r="X22" i="1"/>
  <c r="W22" i="1"/>
  <c r="V22" i="1"/>
  <c r="S22" i="1"/>
  <c r="R22" i="1"/>
  <c r="Q22" i="1"/>
  <c r="O22" i="1"/>
  <c r="M22" i="1"/>
  <c r="L22" i="1"/>
  <c r="K22" i="1"/>
  <c r="J22" i="1"/>
  <c r="I22" i="1"/>
  <c r="H22" i="1"/>
  <c r="G22" i="1"/>
  <c r="F22" i="1"/>
  <c r="E22" i="1"/>
  <c r="D22" i="1"/>
  <c r="AO21" i="1"/>
  <c r="AN21" i="1"/>
  <c r="AM21" i="1"/>
  <c r="AL21" i="1"/>
  <c r="AK21" i="1"/>
  <c r="AJ21" i="1"/>
  <c r="AI21" i="1"/>
  <c r="AG21" i="1"/>
  <c r="AE21" i="1"/>
  <c r="AD21" i="1"/>
  <c r="AB21" i="1"/>
  <c r="AA21" i="1"/>
  <c r="Z21" i="1"/>
  <c r="X21" i="1"/>
  <c r="W21" i="1"/>
  <c r="V21" i="1"/>
  <c r="S21" i="1"/>
  <c r="R21" i="1"/>
  <c r="Q21" i="1"/>
  <c r="O21" i="1"/>
  <c r="M21" i="1"/>
  <c r="L21" i="1"/>
  <c r="K21" i="1"/>
  <c r="J21" i="1"/>
  <c r="I21" i="1"/>
  <c r="H21" i="1"/>
  <c r="G21" i="1"/>
  <c r="F21" i="1"/>
  <c r="E21" i="1"/>
  <c r="D21" i="1"/>
  <c r="AO20" i="1"/>
  <c r="AN20" i="1"/>
  <c r="AM20" i="1"/>
  <c r="AL20" i="1"/>
  <c r="AK20" i="1"/>
  <c r="AJ20" i="1"/>
  <c r="AI20" i="1"/>
  <c r="AG20" i="1"/>
  <c r="AE20" i="1"/>
  <c r="AD20" i="1"/>
  <c r="AB20" i="1"/>
  <c r="AA20" i="1"/>
  <c r="Z20" i="1"/>
  <c r="X20" i="1"/>
  <c r="W20" i="1"/>
  <c r="V20" i="1"/>
  <c r="S20" i="1"/>
  <c r="R20" i="1"/>
  <c r="Q20" i="1"/>
  <c r="O20" i="1"/>
  <c r="M20" i="1"/>
  <c r="L20" i="1"/>
  <c r="K20" i="1"/>
  <c r="J20" i="1"/>
  <c r="I20" i="1"/>
  <c r="H20" i="1"/>
  <c r="G20" i="1"/>
  <c r="F20" i="1"/>
  <c r="E20" i="1"/>
  <c r="D20" i="1"/>
  <c r="AO19" i="1"/>
  <c r="AN19" i="1"/>
  <c r="AM19" i="1"/>
  <c r="AL19" i="1"/>
  <c r="AK19" i="1"/>
  <c r="AJ19" i="1"/>
  <c r="AI19" i="1"/>
  <c r="AG19" i="1"/>
  <c r="AE19" i="1"/>
  <c r="AD19" i="1"/>
  <c r="AB19" i="1"/>
  <c r="AA19" i="1"/>
  <c r="Z19" i="1"/>
  <c r="X19" i="1"/>
  <c r="W19" i="1"/>
  <c r="V19" i="1"/>
  <c r="S19" i="1"/>
  <c r="R19" i="1"/>
  <c r="Q19" i="1"/>
  <c r="O19" i="1"/>
  <c r="M19" i="1"/>
  <c r="L19" i="1"/>
  <c r="K19" i="1"/>
  <c r="J19" i="1"/>
  <c r="I19" i="1"/>
  <c r="H19" i="1"/>
  <c r="G19" i="1"/>
  <c r="F19" i="1"/>
  <c r="E19" i="1"/>
  <c r="D19" i="1"/>
  <c r="AO18" i="1"/>
  <c r="AN18" i="1"/>
  <c r="AM18" i="1"/>
  <c r="AL18" i="1"/>
  <c r="AK18" i="1"/>
  <c r="AJ18" i="1"/>
  <c r="AI18" i="1"/>
  <c r="AG18" i="1"/>
  <c r="AE18" i="1"/>
  <c r="AD18" i="1"/>
  <c r="AB18" i="1"/>
  <c r="AA18" i="1"/>
  <c r="Z18" i="1"/>
  <c r="X18" i="1"/>
  <c r="W18" i="1"/>
  <c r="V18" i="1"/>
  <c r="S18" i="1"/>
  <c r="R18" i="1"/>
  <c r="Q18" i="1"/>
  <c r="O18" i="1"/>
  <c r="M18" i="1"/>
  <c r="L18" i="1"/>
  <c r="K18" i="1"/>
  <c r="J18" i="1"/>
  <c r="I18" i="1"/>
  <c r="H18" i="1"/>
  <c r="G18" i="1"/>
  <c r="F18" i="1"/>
  <c r="E18" i="1"/>
  <c r="D18" i="1"/>
  <c r="AO17" i="1"/>
  <c r="AN17" i="1"/>
  <c r="AM17" i="1"/>
  <c r="AL17" i="1"/>
  <c r="AK17" i="1"/>
  <c r="AJ17" i="1"/>
  <c r="AI17" i="1"/>
  <c r="AG17" i="1"/>
  <c r="AE17" i="1"/>
  <c r="AD17" i="1"/>
  <c r="AB17" i="1"/>
  <c r="AA17" i="1"/>
  <c r="Z17" i="1"/>
  <c r="X17" i="1"/>
  <c r="W17" i="1"/>
  <c r="V17" i="1"/>
  <c r="S17" i="1"/>
  <c r="R17" i="1"/>
  <c r="Q17" i="1"/>
  <c r="O17" i="1"/>
  <c r="M17" i="1"/>
  <c r="L17" i="1"/>
  <c r="K17" i="1"/>
  <c r="J17" i="1"/>
  <c r="I17" i="1"/>
  <c r="H17" i="1"/>
  <c r="G17" i="1"/>
  <c r="F17" i="1"/>
  <c r="E17" i="1"/>
  <c r="D17" i="1"/>
  <c r="AO16" i="1"/>
  <c r="AN16" i="1"/>
  <c r="AM16" i="1"/>
  <c r="AL16" i="1"/>
  <c r="AK16" i="1"/>
  <c r="AJ16" i="1"/>
  <c r="AI16" i="1"/>
  <c r="AG16" i="1"/>
  <c r="AE16" i="1"/>
  <c r="AD16" i="1"/>
  <c r="AB16" i="1"/>
  <c r="AA16" i="1"/>
  <c r="Z16" i="1"/>
  <c r="X16" i="1"/>
  <c r="W16" i="1"/>
  <c r="V16" i="1"/>
  <c r="S16" i="1"/>
  <c r="R16" i="1"/>
  <c r="Q16" i="1"/>
  <c r="O16" i="1"/>
  <c r="M16" i="1"/>
  <c r="L16" i="1"/>
  <c r="K16" i="1"/>
  <c r="J16" i="1"/>
  <c r="I16" i="1"/>
  <c r="H16" i="1"/>
  <c r="G16" i="1"/>
  <c r="F16" i="1"/>
  <c r="E16" i="1"/>
  <c r="D16" i="1"/>
  <c r="AO15" i="1"/>
  <c r="AN15" i="1"/>
  <c r="AM15" i="1"/>
  <c r="AL15" i="1"/>
  <c r="AK15" i="1"/>
  <c r="AJ15" i="1"/>
  <c r="AI15" i="1"/>
  <c r="AG15" i="1"/>
  <c r="AE15" i="1"/>
  <c r="AD15" i="1"/>
  <c r="AB15" i="1"/>
  <c r="AA15" i="1"/>
  <c r="Z15" i="1"/>
  <c r="X15" i="1"/>
  <c r="W15" i="1"/>
  <c r="V15" i="1"/>
  <c r="S15" i="1"/>
  <c r="R15" i="1"/>
  <c r="Q15" i="1"/>
  <c r="O15" i="1"/>
  <c r="M15" i="1"/>
  <c r="L15" i="1"/>
  <c r="K15" i="1"/>
  <c r="J15" i="1"/>
  <c r="I15" i="1"/>
  <c r="H15" i="1"/>
  <c r="G15" i="1"/>
  <c r="F15" i="1"/>
  <c r="E15" i="1"/>
  <c r="D15" i="1"/>
  <c r="AO14" i="1"/>
  <c r="AN14" i="1"/>
  <c r="AM14" i="1"/>
  <c r="AL14" i="1"/>
  <c r="AK14" i="1"/>
  <c r="AJ14" i="1"/>
  <c r="AI14" i="1"/>
  <c r="AG14" i="1"/>
  <c r="AE14" i="1"/>
  <c r="AD14" i="1"/>
  <c r="AB14" i="1"/>
  <c r="AA14" i="1"/>
  <c r="Z14" i="1"/>
  <c r="X14" i="1"/>
  <c r="W14" i="1"/>
  <c r="V14" i="1"/>
  <c r="S14" i="1"/>
  <c r="R14" i="1"/>
  <c r="Q14" i="1"/>
  <c r="O14" i="1"/>
  <c r="M14" i="1"/>
  <c r="L14" i="1"/>
  <c r="K14" i="1"/>
  <c r="J14" i="1"/>
  <c r="I14" i="1"/>
  <c r="H14" i="1"/>
  <c r="G14" i="1"/>
  <c r="F14" i="1"/>
  <c r="E14" i="1"/>
  <c r="D14" i="1"/>
  <c r="AO13" i="1"/>
  <c r="AN13" i="1"/>
  <c r="AM13" i="1"/>
  <c r="AL13" i="1"/>
  <c r="AK13" i="1"/>
  <c r="AJ13" i="1"/>
  <c r="AI13" i="1"/>
  <c r="AG13" i="1"/>
  <c r="AE13" i="1"/>
  <c r="AD13" i="1"/>
  <c r="AB13" i="1"/>
  <c r="AA13" i="1"/>
  <c r="Z13" i="1"/>
  <c r="X13" i="1"/>
  <c r="W13" i="1"/>
  <c r="V13" i="1"/>
  <c r="S13" i="1"/>
  <c r="R13" i="1"/>
  <c r="Q13" i="1"/>
  <c r="O13" i="1"/>
  <c r="M13" i="1"/>
  <c r="L13" i="1"/>
  <c r="K13" i="1"/>
  <c r="J13" i="1"/>
  <c r="I13" i="1"/>
  <c r="H13" i="1"/>
  <c r="G13" i="1"/>
  <c r="F13" i="1"/>
  <c r="E13" i="1"/>
  <c r="D13" i="1"/>
  <c r="AO12" i="1"/>
  <c r="AN12" i="1"/>
  <c r="AM12" i="1"/>
  <c r="AL12" i="1"/>
  <c r="AK12" i="1"/>
  <c r="AJ12" i="1"/>
  <c r="AI12" i="1"/>
  <c r="AG12" i="1"/>
  <c r="AE12" i="1"/>
  <c r="AD12" i="1"/>
  <c r="AB12" i="1"/>
  <c r="AA12" i="1"/>
  <c r="Z12" i="1"/>
  <c r="X12" i="1"/>
  <c r="W12" i="1"/>
  <c r="V12" i="1"/>
  <c r="S12" i="1"/>
  <c r="R12" i="1"/>
  <c r="Q12" i="1"/>
  <c r="O12" i="1"/>
  <c r="M12" i="1"/>
  <c r="L12" i="1"/>
  <c r="K12" i="1"/>
  <c r="J12" i="1"/>
  <c r="I12" i="1"/>
  <c r="H12" i="1"/>
  <c r="G12" i="1"/>
  <c r="F12" i="1"/>
  <c r="E12" i="1"/>
  <c r="D12" i="1"/>
  <c r="AO11" i="1"/>
  <c r="AN11" i="1"/>
  <c r="AM11" i="1"/>
  <c r="AL11" i="1"/>
  <c r="AK11" i="1"/>
  <c r="AJ11" i="1"/>
  <c r="AI11" i="1"/>
  <c r="AG11" i="1"/>
  <c r="AE11" i="1"/>
  <c r="AD11" i="1"/>
  <c r="AB11" i="1"/>
  <c r="AA11" i="1"/>
  <c r="Z11" i="1"/>
  <c r="X11" i="1"/>
  <c r="W11" i="1"/>
  <c r="V11" i="1"/>
  <c r="S11" i="1"/>
  <c r="R11" i="1"/>
  <c r="Q11" i="1"/>
  <c r="O11" i="1"/>
  <c r="M11" i="1"/>
  <c r="L11" i="1"/>
  <c r="K11" i="1"/>
  <c r="J11" i="1"/>
  <c r="I11" i="1"/>
  <c r="H11" i="1"/>
  <c r="G11" i="1"/>
  <c r="F11" i="1"/>
  <c r="E11" i="1"/>
  <c r="D11" i="1"/>
  <c r="AO10" i="1"/>
  <c r="AN10" i="1"/>
  <c r="AM10" i="1"/>
  <c r="AL10" i="1"/>
  <c r="AK10" i="1"/>
  <c r="AJ10" i="1"/>
  <c r="AI10" i="1"/>
  <c r="AG10" i="1"/>
  <c r="AE10" i="1"/>
  <c r="AD10" i="1"/>
  <c r="AB10" i="1"/>
  <c r="AA10" i="1"/>
  <c r="Z10" i="1"/>
  <c r="X10" i="1"/>
  <c r="W10" i="1"/>
  <c r="V10" i="1"/>
  <c r="S10" i="1"/>
  <c r="R10" i="1"/>
  <c r="Q10" i="1"/>
  <c r="O10" i="1"/>
  <c r="M10" i="1"/>
  <c r="L10" i="1"/>
  <c r="K10" i="1"/>
  <c r="J10" i="1"/>
  <c r="I10" i="1"/>
  <c r="H10" i="1"/>
  <c r="G10" i="1"/>
  <c r="F10" i="1"/>
  <c r="E10" i="1"/>
  <c r="D10" i="1"/>
  <c r="AO9" i="1"/>
  <c r="AN9" i="1"/>
  <c r="AM9" i="1"/>
  <c r="AL9" i="1"/>
  <c r="AK9" i="1"/>
  <c r="AJ9" i="1"/>
  <c r="AI9" i="1"/>
  <c r="AG9" i="1"/>
  <c r="AE9" i="1"/>
  <c r="AD9" i="1"/>
  <c r="AB9" i="1"/>
  <c r="AA9" i="1"/>
  <c r="Z9" i="1"/>
  <c r="X9" i="1"/>
  <c r="W9" i="1"/>
  <c r="V9" i="1"/>
  <c r="S9" i="1"/>
  <c r="R9" i="1"/>
  <c r="Q9" i="1"/>
  <c r="O9" i="1"/>
  <c r="M9" i="1"/>
  <c r="L9" i="1"/>
  <c r="K9" i="1"/>
  <c r="J9" i="1"/>
  <c r="I9" i="1"/>
  <c r="H9" i="1"/>
  <c r="G9" i="1"/>
  <c r="F9" i="1"/>
  <c r="E9" i="1"/>
  <c r="D9" i="1"/>
  <c r="AO8" i="1"/>
  <c r="AN8" i="1"/>
  <c r="AM8" i="1"/>
  <c r="AL8" i="1"/>
  <c r="AK8" i="1"/>
  <c r="AJ8" i="1"/>
  <c r="AI8" i="1"/>
  <c r="AG8" i="1"/>
  <c r="AE8" i="1"/>
  <c r="AD8" i="1"/>
  <c r="AB8" i="1"/>
  <c r="AA8" i="1"/>
  <c r="Z8" i="1"/>
  <c r="X8" i="1"/>
  <c r="W8" i="1"/>
  <c r="V8" i="1"/>
  <c r="S8" i="1"/>
  <c r="R8" i="1"/>
  <c r="Q8" i="1"/>
  <c r="O8" i="1"/>
  <c r="M8" i="1"/>
  <c r="L8" i="1"/>
  <c r="K8" i="1"/>
  <c r="J8" i="1"/>
  <c r="I8" i="1"/>
  <c r="H8" i="1"/>
  <c r="G8" i="1"/>
  <c r="F8" i="1"/>
  <c r="E8" i="1"/>
  <c r="D8" i="1"/>
  <c r="AO7" i="1"/>
  <c r="AN7" i="1"/>
  <c r="AM7" i="1"/>
  <c r="AL7" i="1"/>
  <c r="AK7" i="1"/>
  <c r="AJ7" i="1"/>
  <c r="AI7" i="1"/>
  <c r="AG7" i="1"/>
  <c r="AE7" i="1"/>
  <c r="AD7" i="1"/>
  <c r="AB7" i="1"/>
  <c r="AA7" i="1"/>
  <c r="Z7" i="1"/>
  <c r="X7" i="1"/>
  <c r="W7" i="1"/>
  <c r="V7" i="1"/>
  <c r="S7" i="1"/>
  <c r="R7" i="1"/>
  <c r="Q7" i="1"/>
  <c r="O7" i="1"/>
  <c r="M7" i="1"/>
  <c r="L7" i="1"/>
  <c r="K7" i="1"/>
  <c r="J7" i="1"/>
  <c r="I7" i="1"/>
  <c r="H7" i="1"/>
  <c r="G7" i="1"/>
  <c r="F7" i="1"/>
  <c r="E7" i="1"/>
  <c r="D7" i="1"/>
  <c r="AO6" i="1"/>
  <c r="AN6" i="1"/>
  <c r="AM6" i="1"/>
  <c r="AL6" i="1"/>
  <c r="AK6" i="1"/>
  <c r="AJ6" i="1"/>
  <c r="AI6" i="1"/>
  <c r="AG6" i="1"/>
  <c r="AE6" i="1"/>
  <c r="AD6" i="1"/>
  <c r="AB6" i="1"/>
  <c r="AA6" i="1"/>
  <c r="Z6" i="1"/>
  <c r="X6" i="1"/>
  <c r="W6" i="1"/>
  <c r="V6" i="1"/>
  <c r="S6" i="1"/>
  <c r="R6" i="1"/>
  <c r="Q6" i="1"/>
  <c r="O6" i="1"/>
  <c r="M6" i="1"/>
  <c r="L6" i="1"/>
  <c r="K6" i="1"/>
  <c r="J6" i="1"/>
  <c r="I6" i="1"/>
  <c r="H6" i="1"/>
  <c r="G6" i="1"/>
  <c r="F6" i="1"/>
  <c r="E6" i="1"/>
  <c r="D6" i="1"/>
  <c r="AO5" i="1"/>
  <c r="AN5" i="1"/>
  <c r="AM5" i="1"/>
  <c r="AL5" i="1"/>
  <c r="AK5" i="1"/>
  <c r="AJ5" i="1"/>
  <c r="AI5" i="1"/>
  <c r="AG5" i="1"/>
  <c r="AE5" i="1"/>
  <c r="AD5" i="1"/>
  <c r="AB5" i="1"/>
  <c r="AA5" i="1"/>
  <c r="Z5" i="1"/>
  <c r="X5" i="1"/>
  <c r="W5" i="1"/>
  <c r="V5" i="1"/>
  <c r="S5" i="1"/>
  <c r="R5" i="1"/>
  <c r="Q5" i="1"/>
  <c r="O5" i="1"/>
  <c r="M5" i="1"/>
  <c r="L5" i="1"/>
  <c r="K5" i="1"/>
  <c r="J5" i="1"/>
  <c r="I5" i="1"/>
  <c r="H5" i="1"/>
  <c r="G5" i="1"/>
  <c r="F5" i="1"/>
  <c r="E5" i="1"/>
  <c r="D5" i="1"/>
  <c r="AO4" i="1"/>
  <c r="AN4" i="1"/>
  <c r="AM4" i="1"/>
  <c r="AL4" i="1"/>
  <c r="AK4" i="1"/>
  <c r="AJ4" i="1"/>
  <c r="AI4" i="1"/>
  <c r="AG4" i="1"/>
  <c r="AE4" i="1"/>
  <c r="AD4" i="1"/>
  <c r="AB4" i="1"/>
  <c r="AA4" i="1"/>
  <c r="Z4" i="1"/>
  <c r="X4" i="1"/>
  <c r="W4" i="1"/>
  <c r="V4" i="1"/>
  <c r="S4" i="1"/>
  <c r="R4" i="1"/>
  <c r="Q4" i="1"/>
  <c r="O4" i="1"/>
  <c r="M4" i="1"/>
  <c r="L4" i="1"/>
  <c r="K4" i="1"/>
  <c r="J4" i="1"/>
  <c r="I4" i="1"/>
  <c r="H4" i="1"/>
  <c r="G4" i="1"/>
  <c r="F4" i="1"/>
  <c r="E4" i="1"/>
  <c r="D4" i="1"/>
  <c r="AO3" i="1"/>
  <c r="AN3" i="1"/>
  <c r="AM3" i="1"/>
  <c r="AL3" i="1"/>
  <c r="AK3" i="1"/>
  <c r="AJ3" i="1"/>
  <c r="AI3" i="1"/>
  <c r="AG3" i="1"/>
  <c r="AE3" i="1"/>
  <c r="AD3" i="1"/>
  <c r="AB3" i="1"/>
  <c r="AA3" i="1"/>
  <c r="Z3" i="1"/>
  <c r="X3" i="1"/>
  <c r="W3" i="1"/>
  <c r="V3" i="1"/>
  <c r="S3" i="1"/>
  <c r="R3" i="1"/>
  <c r="Q3" i="1"/>
  <c r="O3" i="1"/>
  <c r="M3" i="1"/>
  <c r="L3" i="1"/>
  <c r="K3" i="1"/>
  <c r="J3" i="1"/>
  <c r="I3" i="1"/>
  <c r="H3" i="1"/>
  <c r="G3" i="1"/>
  <c r="F3" i="1"/>
  <c r="E3" i="1"/>
  <c r="D3" i="1"/>
  <c r="AO2" i="1"/>
  <c r="AN2" i="1"/>
  <c r="AM2" i="1"/>
  <c r="AL2" i="1"/>
  <c r="AK2" i="1"/>
  <c r="AJ2" i="1"/>
  <c r="AI2" i="1"/>
  <c r="AG2" i="1"/>
  <c r="AE2" i="1"/>
  <c r="AD2" i="1"/>
  <c r="AB2" i="1"/>
  <c r="AA2" i="1"/>
  <c r="Z2" i="1"/>
  <c r="X2" i="1"/>
  <c r="W2" i="1"/>
  <c r="V2" i="1"/>
  <c r="S2" i="1"/>
  <c r="R2" i="1"/>
  <c r="Q2" i="1"/>
  <c r="O2" i="1"/>
  <c r="M2" i="1"/>
  <c r="L2" i="1"/>
  <c r="K2" i="1"/>
  <c r="J2" i="1"/>
  <c r="I2" i="1"/>
  <c r="H2" i="1"/>
  <c r="G2" i="1"/>
  <c r="F2" i="1"/>
  <c r="E2" i="1"/>
  <c r="D2" i="1"/>
</calcChain>
</file>

<file path=xl/sharedStrings.xml><?xml version="1.0" encoding="utf-8"?>
<sst xmlns="http://schemas.openxmlformats.org/spreadsheetml/2006/main" count="52" uniqueCount="39">
  <si>
    <t>Exclude/Redact</t>
  </si>
  <si>
    <t>This/Always</t>
  </si>
  <si>
    <t>Based On</t>
  </si>
  <si>
    <t>CODE</t>
  </si>
  <si>
    <t>SRT_BASED_ON_VALUE</t>
  </si>
  <si>
    <t>SRT_JOB_NO</t>
  </si>
  <si>
    <t>SRD_REFERENCE</t>
  </si>
  <si>
    <t>SRD_STATUS</t>
  </si>
  <si>
    <t>SRD_COMPANY_FK</t>
  </si>
  <si>
    <t>Module</t>
  </si>
  <si>
    <t>Creditor Account Number</t>
  </si>
  <si>
    <t>Supplier Name</t>
  </si>
  <si>
    <t>Date - Civica</t>
  </si>
  <si>
    <t>Date</t>
  </si>
  <si>
    <t>Transaction Number</t>
  </si>
  <si>
    <t>Net Amount</t>
  </si>
  <si>
    <t>Payment Number</t>
  </si>
  <si>
    <t>Payment Amount</t>
  </si>
  <si>
    <t>Cost Code</t>
  </si>
  <si>
    <t>Detail Code</t>
  </si>
  <si>
    <t>Expenditure Category</t>
  </si>
  <si>
    <t>CIPFA Detailed Expenditure Type</t>
  </si>
  <si>
    <t>Detail Code Description</t>
  </si>
  <si>
    <t>Service Division Label</t>
  </si>
  <si>
    <t xml:space="preserve">Service Label  </t>
  </si>
  <si>
    <t>Service Code</t>
  </si>
  <si>
    <t>Service Division Code</t>
  </si>
  <si>
    <t>Organisational Unit</t>
  </si>
  <si>
    <t>Expenditure Code</t>
  </si>
  <si>
    <t>CIPFA Detailed Expenditure Code</t>
  </si>
  <si>
    <t>Narrative</t>
  </si>
  <si>
    <t xml:space="preserve"> Capital and Revenue</t>
  </si>
  <si>
    <t>GL Reference</t>
  </si>
  <si>
    <t>GL User Analysis</t>
  </si>
  <si>
    <t>GL User Data</t>
  </si>
  <si>
    <t>GL ReferenceNo_2</t>
  </si>
  <si>
    <t>Exclude</t>
  </si>
  <si>
    <t>Always</t>
  </si>
  <si>
    <t>Supplier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</si>
</sst>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7" formatCode="&quot;£&quot;#,##0.00;\-&quot;£&quot;#,##0.00"/>
    <numFmt numFmtId="44" formatCode="_-&quot;£&quot;* #,##0.00_-;\-&quot;£&quot;* #,##0.00_-;_-&quot;£&quot;* &quot;-&quot;??_-;_-@_-"/>
  </numFmts>
  <fonts count="3">
    <font>
      <sz val="11"/>
      <color theme="1"/>
      <name val="Calibri"/>
      <family val="2"/>
      <scheme val="minor"/>
    </font>
    <font>
      <b/>
      <sz val="10"/>
      <name val="Arial"/>
      <family val="2"/>
    </font>
    <font>
      <b/>
      <sz val="10"/>
      <name val="NewList"/>
    </font>
  </fonts>
  <fills count="2">
    <fill>
      <patternFill patternType="none"/>
    </fill>
    <fill>
      <patternFill patternType="gray125"/>
    </fill>
  </fills>
  <borders count="1">
    <border>
      <left/>
      <right/>
      <top/>
      <bottom/>
      <diagonal/>
    </border>
  </borders>
  <cellStyleXfs count="1">
    <xf numFmtId="0" fontId="0" fillId="0" borderId="0"/>
  </cellStyleXfs>
  <cellXfs count="27">
    <xf numFmtId="0" fontId="0" fillId="0" borderId="0" xfId="0"/>
    <xf numFmtId="0" fontId="1" fillId="0" borderId="0" xfId="0" applyFont="1" applyAlignment="1" applyProtection="1">
      <alignment wrapText="1"/>
      <protection locked="0"/>
    </xf>
    <xf numFmtId="0" fontId="1" fillId="0" borderId="0" xfId="0" applyNumberFormat="1" applyFont="1" applyAlignment="1" applyProtection="1">
      <alignment wrapText="1"/>
      <protection locked="0"/>
    </xf>
    <xf numFmtId="14" fontId="1" fillId="0" borderId="0" xfId="0" applyNumberFormat="1" applyFont="1" applyAlignment="1" applyProtection="1">
      <alignment wrapText="1"/>
      <protection locked="0"/>
    </xf>
    <xf numFmtId="14" fontId="1" fillId="0" borderId="0" xfId="0" applyNumberFormat="1" applyFont="1" applyAlignment="1" applyProtection="1">
      <alignment horizontal="center" wrapText="1"/>
      <protection locked="0"/>
    </xf>
    <xf numFmtId="2" fontId="1" fillId="0" borderId="0" xfId="0" applyNumberFormat="1" applyFont="1" applyAlignment="1" applyProtection="1">
      <alignment horizontal="right" wrapText="1"/>
      <protection locked="0"/>
    </xf>
    <xf numFmtId="7" fontId="1" fillId="0" borderId="0" xfId="0" applyNumberFormat="1" applyFont="1" applyAlignment="1" applyProtection="1">
      <alignment wrapText="1"/>
      <protection locked="0"/>
    </xf>
    <xf numFmtId="44" fontId="1" fillId="0" borderId="0" xfId="0" applyNumberFormat="1" applyFont="1" applyAlignment="1" applyProtection="1">
      <alignment wrapText="1"/>
      <protection locked="0"/>
    </xf>
    <xf numFmtId="0" fontId="2" fillId="0" borderId="0" xfId="0" applyFont="1" applyAlignment="1" applyProtection="1">
      <alignment wrapText="1"/>
      <protection locked="0"/>
    </xf>
    <xf numFmtId="0" fontId="0" fillId="0" borderId="0" xfId="0" applyProtection="1">
      <protection locked="0"/>
    </xf>
    <xf numFmtId="0" fontId="0" fillId="0" borderId="0" xfId="0" applyProtection="1"/>
    <xf numFmtId="0" fontId="0" fillId="0" borderId="0" xfId="0" applyNumberFormat="1" applyProtection="1"/>
    <xf numFmtId="14" fontId="0" fillId="0" borderId="0" xfId="0" applyNumberFormat="1" applyProtection="1"/>
    <xf numFmtId="2" fontId="0" fillId="0" borderId="0" xfId="0" applyNumberFormat="1" applyProtection="1"/>
    <xf numFmtId="7" fontId="0" fillId="0" borderId="0" xfId="0" applyNumberFormat="1" applyProtection="1"/>
    <xf numFmtId="44" fontId="0" fillId="0" borderId="0" xfId="0" applyNumberFormat="1" applyProtection="1"/>
    <xf numFmtId="22" fontId="0" fillId="0" borderId="0" xfId="0" applyNumberFormat="1" applyProtection="1">
      <protection locked="0"/>
    </xf>
    <xf numFmtId="22" fontId="0" fillId="0" borderId="0" xfId="0" applyNumberFormat="1" applyProtection="1"/>
    <xf numFmtId="0" fontId="0" fillId="0" borderId="0" xfId="0" applyFill="1" applyProtection="1">
      <protection locked="0"/>
    </xf>
    <xf numFmtId="0" fontId="0" fillId="0" borderId="0" xfId="0" applyFill="1" applyProtection="1"/>
    <xf numFmtId="0" fontId="0" fillId="0" borderId="0" xfId="0" applyNumberFormat="1" applyFill="1" applyProtection="1"/>
    <xf numFmtId="14" fontId="0" fillId="0" borderId="0" xfId="0" applyNumberFormat="1" applyFill="1" applyProtection="1"/>
    <xf numFmtId="2" fontId="0" fillId="0" borderId="0" xfId="0" applyNumberFormat="1" applyFill="1" applyProtection="1"/>
    <xf numFmtId="7" fontId="0" fillId="0" borderId="0" xfId="0" applyNumberFormat="1" applyFill="1" applyProtection="1"/>
    <xf numFmtId="44" fontId="0" fillId="0" borderId="0" xfId="0" applyNumberFormat="1" applyFill="1" applyProtection="1"/>
    <xf numFmtId="2" fontId="0" fillId="0" borderId="0" xfId="0" applyNumberFormat="1"/>
    <xf numFmtId="0"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DC%20Transparency%20to%20January%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ril 16"/>
      <sheetName val="May 16"/>
      <sheetName val="June 16"/>
      <sheetName val="July 16"/>
      <sheetName val="August 16"/>
      <sheetName val="September 16"/>
      <sheetName val="October 16"/>
      <sheetName val="November 16"/>
      <sheetName val="December 16"/>
      <sheetName val="January 17"/>
      <sheetName val="Civica Export"/>
      <sheetName val="Account code lookup"/>
    </sheetNames>
    <sheetDataSet>
      <sheetData sheetId="0"/>
      <sheetData sheetId="1"/>
      <sheetData sheetId="2"/>
      <sheetData sheetId="3"/>
      <sheetData sheetId="4"/>
      <sheetData sheetId="5"/>
      <sheetData sheetId="6"/>
      <sheetData sheetId="7"/>
      <sheetData sheetId="8"/>
      <sheetData sheetId="9"/>
      <sheetData sheetId="10"/>
      <sheetData sheetId="11">
        <row r="1">
          <cell r="A1" t="str">
            <v>Detail</v>
          </cell>
          <cell r="B1" t="str">
            <v>Description</v>
          </cell>
        </row>
        <row r="2">
          <cell r="A2">
            <v>1110</v>
          </cell>
          <cell r="B2" t="str">
            <v>Basic Pay</v>
          </cell>
        </row>
        <row r="3">
          <cell r="A3">
            <v>1111</v>
          </cell>
          <cell r="B3" t="str">
            <v>NI - Employers</v>
          </cell>
        </row>
        <row r="4">
          <cell r="A4">
            <v>1112</v>
          </cell>
          <cell r="B4" t="str">
            <v>Pension Contribution - Employers</v>
          </cell>
        </row>
        <row r="5">
          <cell r="A5">
            <v>1113</v>
          </cell>
          <cell r="B5" t="str">
            <v>Tove additional payments</v>
          </cell>
        </row>
        <row r="6">
          <cell r="A6">
            <v>1114</v>
          </cell>
          <cell r="B6" t="str">
            <v>Salaries - Other ad hoc payments</v>
          </cell>
        </row>
        <row r="7">
          <cell r="A7">
            <v>1115</v>
          </cell>
          <cell r="B7" t="str">
            <v>General Clerical Staffing Costs</v>
          </cell>
        </row>
        <row r="8">
          <cell r="A8">
            <v>1116</v>
          </cell>
          <cell r="B8" t="str">
            <v>Staff Costs Supervisory Staff</v>
          </cell>
        </row>
        <row r="9">
          <cell r="A9">
            <v>1117</v>
          </cell>
          <cell r="B9" t="str">
            <v>Temporary Staff</v>
          </cell>
        </row>
        <row r="10">
          <cell r="A10">
            <v>1118</v>
          </cell>
          <cell r="B10" t="str">
            <v>Maternity/Paternity Pay</v>
          </cell>
        </row>
        <row r="11">
          <cell r="A11">
            <v>1119</v>
          </cell>
          <cell r="B11" t="str">
            <v>Overtime</v>
          </cell>
        </row>
        <row r="12">
          <cell r="A12">
            <v>1120</v>
          </cell>
          <cell r="B12" t="str">
            <v>Sick Pay</v>
          </cell>
        </row>
        <row r="13">
          <cell r="A13">
            <v>1121</v>
          </cell>
          <cell r="B13" t="str">
            <v>Standby</v>
          </cell>
        </row>
        <row r="14">
          <cell r="A14">
            <v>1122</v>
          </cell>
          <cell r="B14" t="str">
            <v>Honoraria Payments</v>
          </cell>
        </row>
        <row r="15">
          <cell r="A15">
            <v>1123</v>
          </cell>
          <cell r="B15" t="str">
            <v>First Aider Payments</v>
          </cell>
        </row>
        <row r="16">
          <cell r="A16">
            <v>1124</v>
          </cell>
          <cell r="B16" t="str">
            <v>Pension Past Service Lump Sum</v>
          </cell>
        </row>
        <row r="17">
          <cell r="A17">
            <v>1125</v>
          </cell>
          <cell r="B17" t="str">
            <v>Pension Strain</v>
          </cell>
        </row>
        <row r="18">
          <cell r="A18">
            <v>1126</v>
          </cell>
          <cell r="B18" t="str">
            <v>Enhanced Service-annual</v>
          </cell>
        </row>
        <row r="19">
          <cell r="A19">
            <v>1127</v>
          </cell>
          <cell r="B19" t="str">
            <v>Enhanced Service-lump sum</v>
          </cell>
        </row>
        <row r="20">
          <cell r="A20">
            <v>1128</v>
          </cell>
          <cell r="B20" t="str">
            <v>Added Years Pension and Pension Compensa</v>
          </cell>
        </row>
        <row r="21">
          <cell r="A21">
            <v>1129</v>
          </cell>
          <cell r="B21" t="str">
            <v>Canvassers Fees</v>
          </cell>
        </row>
        <row r="22">
          <cell r="A22">
            <v>1130</v>
          </cell>
          <cell r="B22" t="str">
            <v>Election Costs</v>
          </cell>
        </row>
        <row r="23">
          <cell r="A23">
            <v>1131</v>
          </cell>
          <cell r="B23" t="str">
            <v>Poll Clerks</v>
          </cell>
        </row>
        <row r="24">
          <cell r="A24">
            <v>1132</v>
          </cell>
          <cell r="B24" t="str">
            <v>Presiding Officers</v>
          </cell>
        </row>
        <row r="25">
          <cell r="A25">
            <v>1133</v>
          </cell>
          <cell r="B25" t="str">
            <v>Miscellaneous Poll Costs</v>
          </cell>
        </row>
        <row r="26">
          <cell r="A26">
            <v>1134</v>
          </cell>
          <cell r="B26" t="str">
            <v>Deputies</v>
          </cell>
        </row>
        <row r="27">
          <cell r="A27">
            <v>1135</v>
          </cell>
          <cell r="B27" t="str">
            <v>RRO's Allocation of Service Costs</v>
          </cell>
        </row>
        <row r="28">
          <cell r="A28">
            <v>1136</v>
          </cell>
          <cell r="B28" t="str">
            <v>Agency Staff</v>
          </cell>
        </row>
        <row r="29">
          <cell r="A29">
            <v>1137</v>
          </cell>
          <cell r="B29" t="str">
            <v>IAS 19 Pension Adjustments</v>
          </cell>
        </row>
        <row r="30">
          <cell r="A30">
            <v>1138</v>
          </cell>
          <cell r="B30" t="str">
            <v>Accumulated Absence Charges</v>
          </cell>
        </row>
        <row r="31">
          <cell r="A31">
            <v>1139</v>
          </cell>
          <cell r="B31" t="str">
            <v>Shared salary costs to local authorities</v>
          </cell>
        </row>
        <row r="32">
          <cell r="A32">
            <v>1140</v>
          </cell>
          <cell r="B32" t="str">
            <v>Shared salary costs from local authoriti</v>
          </cell>
        </row>
        <row r="33">
          <cell r="A33">
            <v>1160</v>
          </cell>
          <cell r="B33" t="str">
            <v>Relocation</v>
          </cell>
        </row>
        <row r="34">
          <cell r="A34">
            <v>1161</v>
          </cell>
          <cell r="B34" t="str">
            <v>Recruitment</v>
          </cell>
        </row>
        <row r="35">
          <cell r="A35">
            <v>1162</v>
          </cell>
          <cell r="B35" t="str">
            <v>Training</v>
          </cell>
        </row>
        <row r="36">
          <cell r="A36">
            <v>1163</v>
          </cell>
          <cell r="B36" t="str">
            <v>Elections Training</v>
          </cell>
        </row>
        <row r="37">
          <cell r="A37">
            <v>1164</v>
          </cell>
          <cell r="B37" t="str">
            <v>CPD Training</v>
          </cell>
        </row>
        <row r="38">
          <cell r="A38">
            <v>1165</v>
          </cell>
          <cell r="B38" t="str">
            <v>Skills Training</v>
          </cell>
        </row>
        <row r="39">
          <cell r="A39">
            <v>1166</v>
          </cell>
          <cell r="B39" t="str">
            <v>Members Training</v>
          </cell>
        </row>
        <row r="40">
          <cell r="A40">
            <v>1167</v>
          </cell>
          <cell r="B40" t="str">
            <v>Advertising Employee Vacancies</v>
          </cell>
        </row>
        <row r="41">
          <cell r="A41">
            <v>1168</v>
          </cell>
          <cell r="B41" t="str">
            <v>Redundancy/Early Retirement</v>
          </cell>
        </row>
        <row r="42">
          <cell r="A42">
            <v>1169</v>
          </cell>
          <cell r="B42" t="str">
            <v>Medical Fees</v>
          </cell>
        </row>
        <row r="43">
          <cell r="A43">
            <v>1170</v>
          </cell>
          <cell r="B43" t="str">
            <v>Long Service Awards</v>
          </cell>
        </row>
        <row r="44">
          <cell r="A44">
            <v>1171</v>
          </cell>
          <cell r="B44" t="str">
            <v>Professional Subs.- Employees</v>
          </cell>
        </row>
        <row r="45">
          <cell r="A45">
            <v>1172</v>
          </cell>
          <cell r="B45" t="str">
            <v>Telephone Reimbursement -Staff</v>
          </cell>
        </row>
        <row r="46">
          <cell r="A46">
            <v>1173</v>
          </cell>
          <cell r="B46" t="str">
            <v>Childcare Vouchers</v>
          </cell>
        </row>
        <row r="47">
          <cell r="A47">
            <v>1174</v>
          </cell>
          <cell r="B47" t="str">
            <v>BUPA - Basic</v>
          </cell>
        </row>
        <row r="48">
          <cell r="A48">
            <v>1175</v>
          </cell>
          <cell r="B48" t="str">
            <v>BUPA - Other</v>
          </cell>
        </row>
        <row r="49">
          <cell r="A49">
            <v>1176</v>
          </cell>
          <cell r="B49" t="str">
            <v>Misc. Employee Costs</v>
          </cell>
        </row>
        <row r="50">
          <cell r="A50">
            <v>1177</v>
          </cell>
          <cell r="B50" t="str">
            <v>Employee-Related Insurances</v>
          </cell>
        </row>
        <row r="51">
          <cell r="A51">
            <v>1178</v>
          </cell>
          <cell r="B51" t="str">
            <v>Criminal Records Bureau Check - Employee</v>
          </cell>
        </row>
        <row r="52">
          <cell r="A52">
            <v>1180</v>
          </cell>
          <cell r="B52" t="str">
            <v>Environment &amp; Planning Salaries Recharge</v>
          </cell>
        </row>
        <row r="53">
          <cell r="A53">
            <v>1181</v>
          </cell>
          <cell r="B53" t="str">
            <v>Revenues &amp; Housing Salaries Recharged</v>
          </cell>
        </row>
        <row r="54">
          <cell r="A54">
            <v>1182</v>
          </cell>
          <cell r="B54" t="str">
            <v>Technical Services Salaries Recharged</v>
          </cell>
        </row>
        <row r="55">
          <cell r="A55">
            <v>1183</v>
          </cell>
          <cell r="B55" t="str">
            <v>Construction Unit Recharged</v>
          </cell>
        </row>
        <row r="56">
          <cell r="A56" t="str">
            <v>11emps</v>
          </cell>
          <cell r="B56" t="str">
            <v>Employees</v>
          </cell>
        </row>
        <row r="57">
          <cell r="A57">
            <v>1200</v>
          </cell>
          <cell r="B57" t="str">
            <v>Repair &amp; Maintenance</v>
          </cell>
        </row>
        <row r="58">
          <cell r="A58">
            <v>1201</v>
          </cell>
          <cell r="B58" t="str">
            <v>Maintenance Agreements</v>
          </cell>
        </row>
        <row r="59">
          <cell r="A59">
            <v>1202</v>
          </cell>
          <cell r="B59" t="str">
            <v>Emergency Repairs</v>
          </cell>
        </row>
        <row r="60">
          <cell r="A60">
            <v>1203</v>
          </cell>
          <cell r="B60" t="str">
            <v>Urgent Repairs</v>
          </cell>
        </row>
        <row r="61">
          <cell r="A61">
            <v>1204</v>
          </cell>
          <cell r="B61" t="str">
            <v>Routine Repairs</v>
          </cell>
        </row>
        <row r="62">
          <cell r="A62">
            <v>1205</v>
          </cell>
          <cell r="B62" t="str">
            <v>Planned Cyclical Repairs</v>
          </cell>
        </row>
        <row r="63">
          <cell r="A63">
            <v>1206</v>
          </cell>
          <cell r="B63" t="str">
            <v>Lifts Expenses</v>
          </cell>
        </row>
        <row r="64">
          <cell r="A64">
            <v>1207</v>
          </cell>
          <cell r="B64" t="str">
            <v>Security-Fire/Intruder Alarms</v>
          </cell>
        </row>
        <row r="65">
          <cell r="A65">
            <v>1208</v>
          </cell>
          <cell r="B65" t="str">
            <v>Void Properties</v>
          </cell>
        </row>
        <row r="66">
          <cell r="A66">
            <v>1209</v>
          </cell>
          <cell r="B66" t="str">
            <v>Alterations to Buildings</v>
          </cell>
        </row>
        <row r="67">
          <cell r="A67">
            <v>1210</v>
          </cell>
          <cell r="B67" t="str">
            <v>PV Screens Maintenance</v>
          </cell>
        </row>
        <row r="68">
          <cell r="A68">
            <v>1220</v>
          </cell>
          <cell r="B68" t="str">
            <v>Electricity</v>
          </cell>
        </row>
        <row r="69">
          <cell r="A69">
            <v>1221</v>
          </cell>
          <cell r="B69" t="str">
            <v>Gas</v>
          </cell>
        </row>
        <row r="70">
          <cell r="A70">
            <v>1222</v>
          </cell>
          <cell r="B70" t="str">
            <v>Woodchip Fuel</v>
          </cell>
        </row>
        <row r="71">
          <cell r="A71">
            <v>1230</v>
          </cell>
          <cell r="B71" t="str">
            <v>Rent</v>
          </cell>
        </row>
        <row r="72">
          <cell r="A72">
            <v>1231</v>
          </cell>
          <cell r="B72" t="str">
            <v>Office Accommodation</v>
          </cell>
        </row>
        <row r="73">
          <cell r="A73">
            <v>1232</v>
          </cell>
          <cell r="B73" t="str">
            <v>Venue Hire Charges</v>
          </cell>
        </row>
        <row r="74">
          <cell r="A74">
            <v>1233</v>
          </cell>
          <cell r="B74" t="str">
            <v>Apportionment of Depot Costs</v>
          </cell>
        </row>
        <row r="75">
          <cell r="A75">
            <v>1234</v>
          </cell>
          <cell r="B75" t="str">
            <v>Service Charge</v>
          </cell>
        </row>
        <row r="76">
          <cell r="A76">
            <v>1240</v>
          </cell>
          <cell r="B76" t="str">
            <v>Non Domestic Rates</v>
          </cell>
        </row>
        <row r="77">
          <cell r="A77">
            <v>1241</v>
          </cell>
          <cell r="B77" t="str">
            <v>Council Tax</v>
          </cell>
        </row>
        <row r="78">
          <cell r="A78">
            <v>1250</v>
          </cell>
          <cell r="B78" t="str">
            <v>Water Charges (Metered)</v>
          </cell>
        </row>
        <row r="79">
          <cell r="A79">
            <v>1251</v>
          </cell>
          <cell r="B79" t="str">
            <v>Water Charges (Unmetered)</v>
          </cell>
        </row>
        <row r="80">
          <cell r="A80">
            <v>1252</v>
          </cell>
          <cell r="B80" t="str">
            <v>Sewerage &amp; Environmental Charges</v>
          </cell>
        </row>
        <row r="81">
          <cell r="A81">
            <v>1260</v>
          </cell>
          <cell r="B81" t="str">
            <v>Fixtures and fittings</v>
          </cell>
        </row>
        <row r="82">
          <cell r="A82">
            <v>1270</v>
          </cell>
          <cell r="B82" t="str">
            <v>Cleaning Materials Direct Purchase</v>
          </cell>
        </row>
        <row r="83">
          <cell r="A83">
            <v>1271</v>
          </cell>
          <cell r="B83" t="str">
            <v>Contract Cleaning</v>
          </cell>
        </row>
        <row r="84">
          <cell r="A84">
            <v>1272</v>
          </cell>
          <cell r="B84" t="str">
            <v>Trade Refuse Charges</v>
          </cell>
        </row>
        <row r="85">
          <cell r="A85">
            <v>1273</v>
          </cell>
          <cell r="B85" t="str">
            <v>Caretaking</v>
          </cell>
        </row>
        <row r="86">
          <cell r="A86">
            <v>1280</v>
          </cell>
          <cell r="B86" t="str">
            <v>Landscape Maintenance</v>
          </cell>
        </row>
        <row r="87">
          <cell r="A87">
            <v>1281</v>
          </cell>
          <cell r="B87" t="str">
            <v>Arboricultural Works</v>
          </cell>
        </row>
        <row r="88">
          <cell r="A88">
            <v>1282</v>
          </cell>
          <cell r="B88" t="str">
            <v>Landscape Development</v>
          </cell>
        </row>
        <row r="89">
          <cell r="A89">
            <v>1283</v>
          </cell>
          <cell r="B89" t="str">
            <v>Chemical Applications</v>
          </cell>
        </row>
        <row r="90">
          <cell r="A90">
            <v>1284</v>
          </cell>
          <cell r="B90" t="str">
            <v>Cleansing Operations</v>
          </cell>
        </row>
        <row r="91">
          <cell r="A91">
            <v>1290</v>
          </cell>
          <cell r="B91" t="str">
            <v>Premises Insurances</v>
          </cell>
        </row>
        <row r="92">
          <cell r="A92" t="str">
            <v>12prem</v>
          </cell>
          <cell r="B92" t="str">
            <v>Premises Related Expenditure</v>
          </cell>
        </row>
        <row r="93">
          <cell r="A93">
            <v>1300</v>
          </cell>
          <cell r="B93" t="str">
            <v>Vehicle Repair &amp; Maintenance</v>
          </cell>
        </row>
        <row r="94">
          <cell r="A94">
            <v>1301</v>
          </cell>
          <cell r="B94" t="str">
            <v>Vehicle Other Running Costs</v>
          </cell>
        </row>
        <row r="95">
          <cell r="A95">
            <v>1302</v>
          </cell>
          <cell r="B95" t="str">
            <v>Fuel &amp; Oil</v>
          </cell>
        </row>
        <row r="96">
          <cell r="A96">
            <v>1303</v>
          </cell>
          <cell r="B96" t="str">
            <v>Accident Damage compensation</v>
          </cell>
        </row>
        <row r="97">
          <cell r="A97">
            <v>1304</v>
          </cell>
          <cell r="B97" t="str">
            <v>Road Fund Licence</v>
          </cell>
        </row>
        <row r="98">
          <cell r="A98">
            <v>1305</v>
          </cell>
          <cell r="B98" t="str">
            <v>MOT Test Fees</v>
          </cell>
        </row>
        <row r="99">
          <cell r="A99">
            <v>1306</v>
          </cell>
          <cell r="B99" t="str">
            <v>Contract Scheduled Maintenance</v>
          </cell>
        </row>
        <row r="100">
          <cell r="A100">
            <v>1307</v>
          </cell>
          <cell r="B100" t="str">
            <v>FTA Costs</v>
          </cell>
        </row>
        <row r="101">
          <cell r="A101">
            <v>1308</v>
          </cell>
          <cell r="B101" t="str">
            <v>Daywork Repairs</v>
          </cell>
        </row>
        <row r="102">
          <cell r="A102">
            <v>1320</v>
          </cell>
          <cell r="B102" t="str">
            <v>Vehicle Hire Expenses</v>
          </cell>
        </row>
        <row r="103">
          <cell r="A103">
            <v>1321</v>
          </cell>
          <cell r="B103" t="str">
            <v>Short Term Vehicle Hire</v>
          </cell>
        </row>
        <row r="104">
          <cell r="A104">
            <v>1322</v>
          </cell>
          <cell r="B104" t="str">
            <v>Operating Lease Vehicle Charges</v>
          </cell>
        </row>
        <row r="105">
          <cell r="A105">
            <v>1323</v>
          </cell>
          <cell r="B105" t="str">
            <v>Finance Lease Maintenance Vehicles</v>
          </cell>
        </row>
        <row r="106">
          <cell r="A106">
            <v>1330</v>
          </cell>
          <cell r="B106" t="str">
            <v>Trains, planes &amp; buses</v>
          </cell>
        </row>
        <row r="107">
          <cell r="A107">
            <v>1340</v>
          </cell>
          <cell r="B107" t="str">
            <v>Vehicle Insurance</v>
          </cell>
        </row>
        <row r="108">
          <cell r="A108">
            <v>1350</v>
          </cell>
          <cell r="B108" t="str">
            <v>Mileage</v>
          </cell>
        </row>
        <row r="109">
          <cell r="A109">
            <v>1351</v>
          </cell>
          <cell r="B109" t="str">
            <v>Essential User</v>
          </cell>
        </row>
        <row r="110">
          <cell r="A110">
            <v>1352</v>
          </cell>
          <cell r="B110" t="str">
            <v>Travel Expenses for Shared Staff from Au</v>
          </cell>
        </row>
        <row r="111">
          <cell r="A111">
            <v>1353</v>
          </cell>
          <cell r="B111" t="str">
            <v>Travel Expenses for shared staff to Auth</v>
          </cell>
        </row>
        <row r="112">
          <cell r="A112">
            <v>1354</v>
          </cell>
          <cell r="B112" t="str">
            <v>Car Allow/Emp Essential Mileage</v>
          </cell>
        </row>
        <row r="113">
          <cell r="A113">
            <v>1355</v>
          </cell>
          <cell r="B113" t="str">
            <v>Car Allow/Emp Essential Lump Sum</v>
          </cell>
        </row>
        <row r="114">
          <cell r="A114">
            <v>1356</v>
          </cell>
          <cell r="B114" t="str">
            <v>Car Allowances - Members</v>
          </cell>
        </row>
        <row r="115">
          <cell r="A115">
            <v>1357</v>
          </cell>
          <cell r="B115" t="str">
            <v>Car Allow/Emp Casual Mileage</v>
          </cell>
        </row>
        <row r="116">
          <cell r="A116">
            <v>1358</v>
          </cell>
          <cell r="B116" t="str">
            <v>Car Allow/Training Mileage</v>
          </cell>
        </row>
        <row r="117">
          <cell r="A117">
            <v>1359</v>
          </cell>
          <cell r="B117" t="str">
            <v>Car Allowances - ILEAP (sdc specific)</v>
          </cell>
        </row>
        <row r="118">
          <cell r="A118">
            <v>1360</v>
          </cell>
          <cell r="B118" t="str">
            <v>Motorbike/Bike Mileage</v>
          </cell>
        </row>
        <row r="119">
          <cell r="A119">
            <v>1370</v>
          </cell>
          <cell r="B119" t="str">
            <v>Car Leasing Insurance Payments</v>
          </cell>
        </row>
        <row r="120">
          <cell r="A120">
            <v>1371</v>
          </cell>
          <cell r="B120" t="str">
            <v>Car Leasing Payments</v>
          </cell>
        </row>
        <row r="121">
          <cell r="A121">
            <v>1372</v>
          </cell>
          <cell r="B121" t="str">
            <v>Car Leasing Mileage Allowances</v>
          </cell>
        </row>
        <row r="122">
          <cell r="A122">
            <v>1373</v>
          </cell>
          <cell r="B122" t="str">
            <v>Car Leasing Nat.Ins. Employers</v>
          </cell>
        </row>
        <row r="123">
          <cell r="A123">
            <v>1374</v>
          </cell>
          <cell r="B123" t="str">
            <v>Non-Recoverable VAT</v>
          </cell>
        </row>
        <row r="124">
          <cell r="A124">
            <v>1375</v>
          </cell>
          <cell r="B124" t="str">
            <v>Car Leasing Employee Contribu.</v>
          </cell>
        </row>
        <row r="125">
          <cell r="A125">
            <v>1380</v>
          </cell>
          <cell r="B125" t="str">
            <v>Salary Sacrifice Nat. Ins. Employers</v>
          </cell>
        </row>
        <row r="126">
          <cell r="A126">
            <v>1381</v>
          </cell>
          <cell r="B126" t="str">
            <v>Car Parking Charges</v>
          </cell>
        </row>
        <row r="127">
          <cell r="A127" t="str">
            <v>13trans</v>
          </cell>
          <cell r="B127" t="str">
            <v>Transport Related Expenditure</v>
          </cell>
        </row>
        <row r="128">
          <cell r="A128">
            <v>1400</v>
          </cell>
          <cell r="B128" t="str">
            <v>Equipment General</v>
          </cell>
        </row>
        <row r="129">
          <cell r="A129">
            <v>1401</v>
          </cell>
          <cell r="B129" t="str">
            <v>Furniture Office Equipment</v>
          </cell>
        </row>
        <row r="130">
          <cell r="A130">
            <v>1402</v>
          </cell>
          <cell r="B130" t="str">
            <v>IT Equipment</v>
          </cell>
        </row>
        <row r="131">
          <cell r="A131">
            <v>1403</v>
          </cell>
          <cell r="B131" t="str">
            <v>Signage</v>
          </cell>
        </row>
        <row r="132">
          <cell r="A132">
            <v>1404</v>
          </cell>
          <cell r="B132" t="str">
            <v>Floral Bedding, Trees,  Shubs &amp; Bulbs</v>
          </cell>
        </row>
        <row r="133">
          <cell r="A133">
            <v>1405</v>
          </cell>
          <cell r="B133" t="str">
            <v>Materials General</v>
          </cell>
        </row>
        <row r="134">
          <cell r="A134">
            <v>1406</v>
          </cell>
          <cell r="B134" t="str">
            <v>Safety Inspections Office Equipment</v>
          </cell>
        </row>
        <row r="135">
          <cell r="A135">
            <v>1407</v>
          </cell>
          <cell r="B135" t="str">
            <v>Operating Leasing costs</v>
          </cell>
        </row>
        <row r="136">
          <cell r="A136">
            <v>1408</v>
          </cell>
          <cell r="B136" t="str">
            <v>Hire Rental Leasing of Equipment</v>
          </cell>
        </row>
        <row r="137">
          <cell r="A137">
            <v>1409</v>
          </cell>
          <cell r="B137" t="str">
            <v>Repair &amp; Maintenance of Plant &amp; Equipmen</v>
          </cell>
        </row>
        <row r="138">
          <cell r="A138">
            <v>1420</v>
          </cell>
          <cell r="B138" t="str">
            <v>Refreshments Expenses</v>
          </cell>
        </row>
        <row r="139">
          <cell r="A139">
            <v>1430</v>
          </cell>
          <cell r="B139" t="str">
            <v>Protective Clothing Expenses</v>
          </cell>
        </row>
        <row r="140">
          <cell r="A140">
            <v>1431</v>
          </cell>
          <cell r="B140" t="str">
            <v>Uniform &amp; Laundry</v>
          </cell>
        </row>
        <row r="141">
          <cell r="A141">
            <v>1440</v>
          </cell>
          <cell r="B141" t="str">
            <v>Printing &amp; Photocopying - MFD</v>
          </cell>
        </row>
        <row r="142">
          <cell r="A142">
            <v>1441</v>
          </cell>
          <cell r="B142" t="str">
            <v>Printing Paper</v>
          </cell>
        </row>
        <row r="143">
          <cell r="A143">
            <v>1442</v>
          </cell>
          <cell r="B143" t="str">
            <v>Printing Tickets</v>
          </cell>
        </row>
        <row r="144">
          <cell r="A144">
            <v>1443</v>
          </cell>
          <cell r="B144" t="str">
            <v>Graphic Design</v>
          </cell>
        </row>
        <row r="145">
          <cell r="A145">
            <v>1444</v>
          </cell>
          <cell r="B145" t="str">
            <v>Stationery</v>
          </cell>
        </row>
        <row r="146">
          <cell r="A146">
            <v>1445</v>
          </cell>
          <cell r="B146" t="str">
            <v>Books &amp; Publications</v>
          </cell>
        </row>
        <row r="147">
          <cell r="A147">
            <v>1446</v>
          </cell>
          <cell r="B147" t="str">
            <v>External Print &amp; Design Work</v>
          </cell>
        </row>
        <row r="148">
          <cell r="A148">
            <v>1447</v>
          </cell>
          <cell r="B148" t="str">
            <v>SNC Review</v>
          </cell>
        </row>
        <row r="149">
          <cell r="A149">
            <v>1448</v>
          </cell>
          <cell r="B149" t="str">
            <v>Cherwell Link Publication</v>
          </cell>
        </row>
        <row r="150">
          <cell r="A150">
            <v>1449</v>
          </cell>
          <cell r="B150" t="str">
            <v>Microfilming</v>
          </cell>
        </row>
        <row r="151">
          <cell r="A151">
            <v>1460</v>
          </cell>
          <cell r="B151" t="str">
            <v>Bailiff costs</v>
          </cell>
        </row>
        <row r="152">
          <cell r="A152">
            <v>1461</v>
          </cell>
          <cell r="B152" t="str">
            <v>Criminal Records Bureau Checks</v>
          </cell>
        </row>
        <row r="153">
          <cell r="A153">
            <v>1462</v>
          </cell>
          <cell r="B153" t="str">
            <v>Medical Reports</v>
          </cell>
        </row>
        <row r="154">
          <cell r="A154">
            <v>1463</v>
          </cell>
          <cell r="B154" t="str">
            <v>County Court Costs</v>
          </cell>
        </row>
        <row r="155">
          <cell r="A155">
            <v>1464</v>
          </cell>
          <cell r="B155" t="str">
            <v>Legal Expenses</v>
          </cell>
        </row>
        <row r="156">
          <cell r="A156">
            <v>1465</v>
          </cell>
          <cell r="B156" t="str">
            <v>Valuers Fees</v>
          </cell>
        </row>
        <row r="157">
          <cell r="A157">
            <v>1466</v>
          </cell>
          <cell r="B157" t="str">
            <v>Works in default expenditure</v>
          </cell>
        </row>
        <row r="158">
          <cell r="A158">
            <v>1467</v>
          </cell>
          <cell r="B158" t="str">
            <v>Consultancy</v>
          </cell>
        </row>
        <row r="159">
          <cell r="A159">
            <v>1468</v>
          </cell>
          <cell r="B159" t="str">
            <v>Trade Refuse Sacks</v>
          </cell>
        </row>
        <row r="160">
          <cell r="A160">
            <v>1469</v>
          </cell>
          <cell r="B160" t="str">
            <v>Bin</v>
          </cell>
        </row>
        <row r="161">
          <cell r="A161">
            <v>1470</v>
          </cell>
          <cell r="B161" t="str">
            <v>Boxes</v>
          </cell>
        </row>
        <row r="162">
          <cell r="A162">
            <v>1471</v>
          </cell>
          <cell r="B162" t="str">
            <v>Complaints</v>
          </cell>
        </row>
        <row r="163">
          <cell r="A163">
            <v>1472</v>
          </cell>
          <cell r="B163" t="str">
            <v>Gifts</v>
          </cell>
        </row>
        <row r="164">
          <cell r="A164">
            <v>1473</v>
          </cell>
          <cell r="B164" t="str">
            <v>Hospitality - Members</v>
          </cell>
        </row>
        <row r="165">
          <cell r="A165">
            <v>1474</v>
          </cell>
          <cell r="B165" t="str">
            <v>Hospitality - Officers</v>
          </cell>
        </row>
        <row r="166">
          <cell r="A166">
            <v>1475</v>
          </cell>
          <cell r="B166" t="str">
            <v>Security Services Expenses</v>
          </cell>
        </row>
        <row r="167">
          <cell r="A167">
            <v>1476</v>
          </cell>
          <cell r="B167" t="str">
            <v>Insurance expenses</v>
          </cell>
        </row>
        <row r="168">
          <cell r="A168">
            <v>1477</v>
          </cell>
          <cell r="B168" t="str">
            <v>Mortgage Protection Premium Paid</v>
          </cell>
        </row>
        <row r="169">
          <cell r="A169">
            <v>1478</v>
          </cell>
          <cell r="B169" t="str">
            <v>Ordnance Survey Licence Fee</v>
          </cell>
        </row>
        <row r="170">
          <cell r="A170">
            <v>1479</v>
          </cell>
          <cell r="B170" t="str">
            <v>Burial of Dead</v>
          </cell>
        </row>
        <row r="171">
          <cell r="A171">
            <v>1480</v>
          </cell>
          <cell r="B171" t="str">
            <v>Bad Debt Provision</v>
          </cell>
        </row>
        <row r="172">
          <cell r="A172">
            <v>1481</v>
          </cell>
          <cell r="B172" t="str">
            <v>Write Offs</v>
          </cell>
        </row>
        <row r="173">
          <cell r="A173">
            <v>1482</v>
          </cell>
          <cell r="B173" t="str">
            <v>Special Initiatives</v>
          </cell>
        </row>
        <row r="174">
          <cell r="A174">
            <v>1483</v>
          </cell>
          <cell r="B174" t="str">
            <v>Dog Collection</v>
          </cell>
        </row>
        <row r="175">
          <cell r="A175">
            <v>1484</v>
          </cell>
          <cell r="B175" t="str">
            <v>Kennel Fees</v>
          </cell>
        </row>
        <row r="176">
          <cell r="A176">
            <v>1485</v>
          </cell>
          <cell r="B176" t="str">
            <v>Vets Fees</v>
          </cell>
        </row>
        <row r="177">
          <cell r="A177">
            <v>1486</v>
          </cell>
          <cell r="B177" t="str">
            <v>Water Sampling</v>
          </cell>
        </row>
        <row r="178">
          <cell r="A178">
            <v>1487</v>
          </cell>
          <cell r="B178" t="str">
            <v>Advertising</v>
          </cell>
        </row>
        <row r="179">
          <cell r="A179">
            <v>1488</v>
          </cell>
          <cell r="B179" t="str">
            <v>Emergency Accommodation for Homeless</v>
          </cell>
        </row>
        <row r="180">
          <cell r="A180">
            <v>1489</v>
          </cell>
          <cell r="B180" t="str">
            <v>Rent Deposit Scheme</v>
          </cell>
        </row>
        <row r="181">
          <cell r="A181">
            <v>1490</v>
          </cell>
          <cell r="B181" t="str">
            <v>B&amp;B charges</v>
          </cell>
        </row>
        <row r="182">
          <cell r="A182">
            <v>1491</v>
          </cell>
          <cell r="B182" t="str">
            <v>Temp Accom Rent Loss</v>
          </cell>
        </row>
        <row r="183">
          <cell r="A183">
            <v>1492</v>
          </cell>
          <cell r="B183" t="str">
            <v>Internal Drainage Board Levy</v>
          </cell>
        </row>
        <row r="184">
          <cell r="A184">
            <v>1493</v>
          </cell>
          <cell r="B184" t="str">
            <v>Promotion Equipment</v>
          </cell>
        </row>
        <row r="185">
          <cell r="A185">
            <v>1494</v>
          </cell>
          <cell r="B185" t="str">
            <v>Arts Promotions</v>
          </cell>
        </row>
        <row r="186">
          <cell r="A186">
            <v>1495</v>
          </cell>
          <cell r="B186" t="str">
            <v>Exhibition Fees</v>
          </cell>
        </row>
        <row r="187">
          <cell r="A187">
            <v>1496</v>
          </cell>
          <cell r="B187" t="str">
            <v>Activities (workshop fees)</v>
          </cell>
        </row>
        <row r="188">
          <cell r="A188">
            <v>1497</v>
          </cell>
          <cell r="B188" t="str">
            <v>Licence Fees</v>
          </cell>
        </row>
        <row r="189">
          <cell r="A189">
            <v>1498</v>
          </cell>
          <cell r="B189" t="str">
            <v>Occupational Health Service</v>
          </cell>
        </row>
        <row r="190">
          <cell r="A190">
            <v>1499</v>
          </cell>
          <cell r="B190" t="str">
            <v>Miscellaneous Costs</v>
          </cell>
        </row>
        <row r="191">
          <cell r="A191" t="str">
            <v>14suse</v>
          </cell>
          <cell r="B191" t="str">
            <v>Supplies and Services</v>
          </cell>
        </row>
        <row r="192">
          <cell r="A192">
            <v>1510</v>
          </cell>
          <cell r="B192" t="str">
            <v>Postages Expenses</v>
          </cell>
        </row>
        <row r="193">
          <cell r="A193">
            <v>1511</v>
          </cell>
          <cell r="B193" t="str">
            <v>Telephone Rentals &amp; Calls Exps</v>
          </cell>
        </row>
        <row r="194">
          <cell r="A194">
            <v>1512</v>
          </cell>
          <cell r="B194" t="str">
            <v>Mobile Phones</v>
          </cell>
        </row>
        <row r="195">
          <cell r="A195">
            <v>1513</v>
          </cell>
          <cell r="B195" t="str">
            <v>TV/ Radio Equipment Expenses</v>
          </cell>
        </row>
        <row r="196">
          <cell r="A196">
            <v>1514</v>
          </cell>
          <cell r="B196" t="str">
            <v>Network and Line Rentals - inc Fibre Opt</v>
          </cell>
        </row>
        <row r="197">
          <cell r="A197">
            <v>1515</v>
          </cell>
          <cell r="B197" t="str">
            <v>Cherwell Link</v>
          </cell>
        </row>
        <row r="198">
          <cell r="A198">
            <v>1516</v>
          </cell>
          <cell r="B198" t="str">
            <v>Computer Software, Licensing &amp; Maintenan</v>
          </cell>
        </row>
        <row r="199">
          <cell r="A199">
            <v>1517</v>
          </cell>
          <cell r="B199" t="str">
            <v>Computer Hardware Expenses</v>
          </cell>
        </row>
        <row r="200">
          <cell r="A200">
            <v>1518</v>
          </cell>
          <cell r="B200" t="str">
            <v>Software Support Contract</v>
          </cell>
        </row>
        <row r="201">
          <cell r="A201">
            <v>1519</v>
          </cell>
          <cell r="B201" t="str">
            <v>Computer Consumeables/Supplies</v>
          </cell>
        </row>
        <row r="202">
          <cell r="A202">
            <v>1520</v>
          </cell>
          <cell r="B202" t="str">
            <v>Television Licences</v>
          </cell>
        </row>
        <row r="203">
          <cell r="A203">
            <v>1521</v>
          </cell>
          <cell r="B203" t="str">
            <v>Members IT</v>
          </cell>
        </row>
        <row r="204">
          <cell r="A204">
            <v>1522</v>
          </cell>
          <cell r="B204" t="str">
            <v>Data Protection Registration</v>
          </cell>
        </row>
        <row r="205">
          <cell r="A205">
            <v>1523</v>
          </cell>
          <cell r="B205" t="str">
            <v>Translation Service</v>
          </cell>
        </row>
        <row r="206">
          <cell r="A206">
            <v>1524</v>
          </cell>
          <cell r="B206" t="str">
            <v>Photography</v>
          </cell>
        </row>
        <row r="207">
          <cell r="A207">
            <v>1525</v>
          </cell>
          <cell r="B207" t="str">
            <v>Consumables</v>
          </cell>
        </row>
        <row r="208">
          <cell r="A208">
            <v>1526</v>
          </cell>
          <cell r="B208" t="str">
            <v>Computer Insurances</v>
          </cell>
        </row>
        <row r="209">
          <cell r="A209">
            <v>1540</v>
          </cell>
          <cell r="B209" t="str">
            <v>Chairmans Exps</v>
          </cell>
        </row>
        <row r="210">
          <cell r="A210">
            <v>1541</v>
          </cell>
          <cell r="B210" t="str">
            <v>Chairmans Annual Allowance</v>
          </cell>
        </row>
        <row r="211">
          <cell r="A211">
            <v>1542</v>
          </cell>
          <cell r="B211" t="str">
            <v>Members Basic Allowance</v>
          </cell>
        </row>
        <row r="212">
          <cell r="A212">
            <v>1543</v>
          </cell>
          <cell r="B212" t="str">
            <v>Members Attendance Allowances</v>
          </cell>
        </row>
        <row r="213">
          <cell r="A213">
            <v>1544</v>
          </cell>
          <cell r="B213" t="str">
            <v>Members Special Responsibility</v>
          </cell>
        </row>
        <row r="214">
          <cell r="A214">
            <v>1545</v>
          </cell>
          <cell r="B214" t="str">
            <v>Members Subsistence Expenses</v>
          </cell>
        </row>
        <row r="215">
          <cell r="A215">
            <v>1546</v>
          </cell>
          <cell r="B215" t="str">
            <v>Member Training</v>
          </cell>
        </row>
        <row r="216">
          <cell r="A216">
            <v>1547</v>
          </cell>
          <cell r="B216" t="str">
            <v>Members - 'Ers N.I.</v>
          </cell>
        </row>
        <row r="217">
          <cell r="A217">
            <v>1560</v>
          </cell>
          <cell r="B217" t="str">
            <v>Employee Subsistence Expenses</v>
          </cell>
        </row>
        <row r="218">
          <cell r="A218">
            <v>1561</v>
          </cell>
          <cell r="B218" t="str">
            <v>Conferences/Courses/Seminars</v>
          </cell>
        </row>
        <row r="219">
          <cell r="A219">
            <v>1562</v>
          </cell>
          <cell r="B219" t="str">
            <v>Stationery Expenses</v>
          </cell>
        </row>
        <row r="220">
          <cell r="A220">
            <v>1563</v>
          </cell>
          <cell r="B220" t="str">
            <v>Books &amp; Publications</v>
          </cell>
        </row>
        <row r="221">
          <cell r="A221">
            <v>1564</v>
          </cell>
          <cell r="B221" t="str">
            <v>Other office expenses</v>
          </cell>
        </row>
        <row r="222">
          <cell r="A222">
            <v>1565</v>
          </cell>
          <cell r="B222" t="str">
            <v>Civic Regalia Expenses</v>
          </cell>
        </row>
        <row r="223">
          <cell r="A223">
            <v>1566</v>
          </cell>
          <cell r="B223" t="str">
            <v>SHARED EXPENSES TO Authority - CR</v>
          </cell>
        </row>
        <row r="224">
          <cell r="A224">
            <v>1567</v>
          </cell>
          <cell r="B224" t="str">
            <v>SHARED EXPENSES FROM Authority - DR</v>
          </cell>
        </row>
        <row r="225">
          <cell r="A225">
            <v>1568</v>
          </cell>
          <cell r="B225" t="str">
            <v>Cycle Allowance</v>
          </cell>
        </row>
        <row r="226">
          <cell r="A226">
            <v>1580</v>
          </cell>
          <cell r="B226" t="str">
            <v>Grants</v>
          </cell>
        </row>
        <row r="227">
          <cell r="A227">
            <v>1581</v>
          </cell>
          <cell r="B227" t="str">
            <v>Subscriptions</v>
          </cell>
        </row>
        <row r="228">
          <cell r="A228">
            <v>1582</v>
          </cell>
          <cell r="B228" t="str">
            <v>Contribution</v>
          </cell>
        </row>
        <row r="229">
          <cell r="A229">
            <v>1583</v>
          </cell>
          <cell r="B229" t="str">
            <v>Arts</v>
          </cell>
        </row>
        <row r="230">
          <cell r="A230">
            <v>1584</v>
          </cell>
          <cell r="B230" t="str">
            <v>NHB1-Affordable Housing</v>
          </cell>
        </row>
        <row r="231">
          <cell r="A231">
            <v>1585</v>
          </cell>
          <cell r="B231" t="str">
            <v>NHB2-Administration</v>
          </cell>
        </row>
        <row r="232">
          <cell r="A232">
            <v>1586</v>
          </cell>
          <cell r="B232" t="str">
            <v>NHB3-General fund</v>
          </cell>
        </row>
        <row r="233">
          <cell r="A233">
            <v>1587</v>
          </cell>
          <cell r="B233" t="str">
            <v>NHB4-Communities</v>
          </cell>
        </row>
        <row r="234">
          <cell r="A234">
            <v>1588</v>
          </cell>
          <cell r="B234" t="str">
            <v>NHB5-Economic Development</v>
          </cell>
        </row>
        <row r="235">
          <cell r="A235">
            <v>1589</v>
          </cell>
          <cell r="B235" t="str">
            <v>NHB6-Voluntary Sector</v>
          </cell>
        </row>
        <row r="236">
          <cell r="A236">
            <v>1590</v>
          </cell>
          <cell r="B236" t="str">
            <v>Sports</v>
          </cell>
        </row>
        <row r="237">
          <cell r="A237">
            <v>1591</v>
          </cell>
          <cell r="B237" t="str">
            <v>Voluntary Organisations</v>
          </cell>
        </row>
        <row r="238">
          <cell r="A238">
            <v>1592</v>
          </cell>
          <cell r="B238" t="str">
            <v>Development Schemes</v>
          </cell>
        </row>
        <row r="239">
          <cell r="A239">
            <v>1600</v>
          </cell>
          <cell r="B239" t="str">
            <v>Complaints</v>
          </cell>
        </row>
        <row r="240">
          <cell r="A240">
            <v>1601</v>
          </cell>
          <cell r="B240" t="str">
            <v>Gifts</v>
          </cell>
        </row>
        <row r="241">
          <cell r="A241">
            <v>1602</v>
          </cell>
          <cell r="B241" t="str">
            <v>Miscellaneous Costs</v>
          </cell>
        </row>
        <row r="242">
          <cell r="A242">
            <v>1700</v>
          </cell>
          <cell r="B242" t="str">
            <v>Parish Cleansing - litter picking etc.</v>
          </cell>
        </row>
        <row r="243">
          <cell r="A243">
            <v>1701</v>
          </cell>
          <cell r="B243" t="str">
            <v>Contribution To County Council</v>
          </cell>
        </row>
        <row r="244">
          <cell r="A244">
            <v>1702</v>
          </cell>
          <cell r="B244" t="str">
            <v>Refuse Disposal Charge</v>
          </cell>
        </row>
        <row r="245">
          <cell r="A245">
            <v>1703</v>
          </cell>
          <cell r="B245" t="str">
            <v>Recycling Crs Paid (Third Parties)</v>
          </cell>
        </row>
        <row r="246">
          <cell r="A246">
            <v>1704</v>
          </cell>
          <cell r="B246" t="str">
            <v>Land Registry &amp; Search Fees</v>
          </cell>
        </row>
        <row r="247">
          <cell r="A247">
            <v>1705</v>
          </cell>
          <cell r="B247" t="str">
            <v>Shared service costs</v>
          </cell>
        </row>
        <row r="248">
          <cell r="A248">
            <v>1706</v>
          </cell>
          <cell r="B248" t="str">
            <v>Composting</v>
          </cell>
        </row>
        <row r="249">
          <cell r="A249">
            <v>1720</v>
          </cell>
          <cell r="B249" t="str">
            <v>Contractor Revenue Payments</v>
          </cell>
        </row>
        <row r="250">
          <cell r="A250">
            <v>1721</v>
          </cell>
          <cell r="B250" t="str">
            <v>Management Fees</v>
          </cell>
        </row>
        <row r="251">
          <cell r="A251">
            <v>1722</v>
          </cell>
          <cell r="B251" t="str">
            <v>Lifecycle costs</v>
          </cell>
        </row>
        <row r="252">
          <cell r="A252">
            <v>1723</v>
          </cell>
          <cell r="B252" t="str">
            <v>Leisure Contract</v>
          </cell>
        </row>
        <row r="253">
          <cell r="A253">
            <v>1724</v>
          </cell>
          <cell r="B253" t="str">
            <v>Internal Audit</v>
          </cell>
        </row>
        <row r="254">
          <cell r="A254">
            <v>1725</v>
          </cell>
          <cell r="B254" t="str">
            <v>Contractor Ad Hoc Payments</v>
          </cell>
        </row>
        <row r="255">
          <cell r="A255">
            <v>1726</v>
          </cell>
          <cell r="B255" t="str">
            <v>Compensation for Concessions</v>
          </cell>
        </row>
        <row r="256">
          <cell r="A256">
            <v>1727</v>
          </cell>
          <cell r="B256" t="str">
            <v>Contract Extension Discount</v>
          </cell>
        </row>
        <row r="257">
          <cell r="A257">
            <v>1750</v>
          </cell>
          <cell r="B257" t="str">
            <v>BACS &amp; Merchant services</v>
          </cell>
        </row>
        <row r="258">
          <cell r="A258">
            <v>1751</v>
          </cell>
          <cell r="B258" t="str">
            <v>Bank Charges</v>
          </cell>
        </row>
        <row r="259">
          <cell r="A259">
            <v>1760</v>
          </cell>
          <cell r="B259" t="str">
            <v>Bailiffs' Fees</v>
          </cell>
        </row>
        <row r="260">
          <cell r="A260">
            <v>1761</v>
          </cell>
          <cell r="B260" t="str">
            <v>External Audit</v>
          </cell>
        </row>
        <row r="261">
          <cell r="A261">
            <v>1762</v>
          </cell>
          <cell r="B261" t="str">
            <v>Legal Fees</v>
          </cell>
        </row>
        <row r="262">
          <cell r="A262">
            <v>1763</v>
          </cell>
          <cell r="B262" t="str">
            <v>Court Costs</v>
          </cell>
        </row>
        <row r="263">
          <cell r="A263">
            <v>1764</v>
          </cell>
          <cell r="B263" t="str">
            <v>Counsel Fees</v>
          </cell>
        </row>
        <row r="264">
          <cell r="A264">
            <v>1765</v>
          </cell>
          <cell r="B264" t="str">
            <v>Consultants Fees</v>
          </cell>
        </row>
        <row r="265">
          <cell r="A265">
            <v>1766</v>
          </cell>
          <cell r="B265" t="str">
            <v>Fund Management</v>
          </cell>
        </row>
        <row r="266">
          <cell r="A266">
            <v>1767</v>
          </cell>
          <cell r="B266" t="str">
            <v>Professional Fees</v>
          </cell>
        </row>
        <row r="267">
          <cell r="A267">
            <v>1768</v>
          </cell>
          <cell r="B267" t="str">
            <v>Bicester Healthy New Towns</v>
          </cell>
        </row>
        <row r="268">
          <cell r="A268">
            <v>1769</v>
          </cell>
          <cell r="B268" t="str">
            <v>Harmonisation Project Expenditure</v>
          </cell>
        </row>
        <row r="269">
          <cell r="A269">
            <v>1770</v>
          </cell>
          <cell r="B269" t="str">
            <v>Other misc payments</v>
          </cell>
        </row>
        <row r="270">
          <cell r="A270" t="str">
            <v>17tpp</v>
          </cell>
          <cell r="B270" t="str">
            <v>Third Party Payments</v>
          </cell>
        </row>
        <row r="271">
          <cell r="A271">
            <v>1800</v>
          </cell>
          <cell r="B271" t="str">
            <v>HB Rent Allowances</v>
          </cell>
        </row>
        <row r="272">
          <cell r="A272">
            <v>1801</v>
          </cell>
          <cell r="B272" t="str">
            <v>HB Excess Over Model Scheme</v>
          </cell>
        </row>
        <row r="273">
          <cell r="A273">
            <v>1802</v>
          </cell>
          <cell r="B273" t="str">
            <v>Rent Rebates</v>
          </cell>
        </row>
        <row r="274">
          <cell r="A274">
            <v>1810</v>
          </cell>
          <cell r="B274" t="str">
            <v>NNDR Tarrif payment to DCLG</v>
          </cell>
        </row>
        <row r="275">
          <cell r="A275">
            <v>1811</v>
          </cell>
          <cell r="B275" t="str">
            <v>NNDR Levy Payment to DCLG</v>
          </cell>
        </row>
        <row r="276">
          <cell r="A276">
            <v>1820</v>
          </cell>
          <cell r="B276" t="str">
            <v>Housing Pooled Capital Payments</v>
          </cell>
        </row>
        <row r="277">
          <cell r="A277">
            <v>1821</v>
          </cell>
          <cell r="B277" t="str">
            <v>Bad Debt Provision</v>
          </cell>
        </row>
        <row r="278">
          <cell r="A278">
            <v>1822</v>
          </cell>
          <cell r="B278" t="str">
            <v>Parish Council Precepts Paid</v>
          </cell>
        </row>
        <row r="279">
          <cell r="A279">
            <v>1823</v>
          </cell>
          <cell r="B279" t="str">
            <v>Other Transfer Payments</v>
          </cell>
        </row>
        <row r="280">
          <cell r="A280" t="str">
            <v>18tran</v>
          </cell>
          <cell r="B280" t="str">
            <v>Transfer Payments</v>
          </cell>
        </row>
        <row r="281">
          <cell r="A281">
            <v>1900</v>
          </cell>
          <cell r="B281" t="str">
            <v>Central Support</v>
          </cell>
        </row>
        <row r="282">
          <cell r="A282">
            <v>1901</v>
          </cell>
          <cell r="B282" t="str">
            <v>Internal Departmental Recharges</v>
          </cell>
        </row>
        <row r="283">
          <cell r="A283">
            <v>1902</v>
          </cell>
          <cell r="B283" t="str">
            <v>Exchequer Unit (2602)</v>
          </cell>
        </row>
        <row r="284">
          <cell r="A284">
            <v>1903</v>
          </cell>
          <cell r="B284" t="str">
            <v>Accy. Support (2603)</v>
          </cell>
        </row>
        <row r="285">
          <cell r="A285">
            <v>1904</v>
          </cell>
          <cell r="B285" t="str">
            <v>Internal Audit (2607)</v>
          </cell>
        </row>
        <row r="286">
          <cell r="A286">
            <v>1905</v>
          </cell>
          <cell r="B286" t="str">
            <v>IT Support (3250)</v>
          </cell>
        </row>
        <row r="287">
          <cell r="A287">
            <v>1906</v>
          </cell>
          <cell r="B287" t="str">
            <v>Telephones (3232)</v>
          </cell>
        </row>
        <row r="288">
          <cell r="A288">
            <v>1907</v>
          </cell>
          <cell r="B288" t="str">
            <v>Design &amp; Cartographics (3222)</v>
          </cell>
        </row>
        <row r="289">
          <cell r="A289">
            <v>1908</v>
          </cell>
          <cell r="B289" t="str">
            <v>Legal Services (2511)</v>
          </cell>
        </row>
        <row r="290">
          <cell r="A290">
            <v>1909</v>
          </cell>
          <cell r="B290" t="str">
            <v>Insurance - general (2673)</v>
          </cell>
        </row>
        <row r="291">
          <cell r="A291">
            <v>1910</v>
          </cell>
          <cell r="B291" t="str">
            <v>Training (3212/23 &amp; 3318-35)</v>
          </cell>
        </row>
        <row r="292">
          <cell r="A292">
            <v>1911</v>
          </cell>
          <cell r="B292" t="str">
            <v>Democratic Support (2512)</v>
          </cell>
        </row>
        <row r="293">
          <cell r="A293">
            <v>1912</v>
          </cell>
          <cell r="B293" t="str">
            <v>Public Offices (2699 2935 2936 &amp; 2701-13</v>
          </cell>
        </row>
        <row r="294">
          <cell r="A294">
            <v>1913</v>
          </cell>
          <cell r="B294" t="str">
            <v>Vending Machines (3218/45)</v>
          </cell>
        </row>
        <row r="295">
          <cell r="A295">
            <v>1914</v>
          </cell>
          <cell r="B295" t="str">
            <v>Performance Improvement (2612)</v>
          </cell>
        </row>
        <row r="296">
          <cell r="A296">
            <v>1915</v>
          </cell>
          <cell r="B296" t="str">
            <v>Monitoring Officer (2499)</v>
          </cell>
        </row>
        <row r="297">
          <cell r="A297">
            <v>1916</v>
          </cell>
          <cell r="B297" t="str">
            <v>Consultation (3249)</v>
          </cell>
        </row>
        <row r="298">
          <cell r="A298">
            <v>1917</v>
          </cell>
          <cell r="B298" t="str">
            <v>Staff Benefits (2818)</v>
          </cell>
        </row>
        <row r="299">
          <cell r="A299">
            <v>1918</v>
          </cell>
          <cell r="B299" t="str">
            <v>Front Office &amp; Trans. Team (3205)</v>
          </cell>
        </row>
        <row r="300">
          <cell r="A300">
            <v>1919</v>
          </cell>
          <cell r="B300" t="str">
            <v>Resources Human Resources (2690)</v>
          </cell>
        </row>
        <row r="301">
          <cell r="A301">
            <v>1920</v>
          </cell>
          <cell r="B301" t="str">
            <v>Head of Customer Access (3246)</v>
          </cell>
        </row>
        <row r="302">
          <cell r="A302" t="str">
            <v>19sups</v>
          </cell>
          <cell r="B302" t="str">
            <v>Support Services</v>
          </cell>
        </row>
        <row r="303">
          <cell r="A303">
            <v>2000</v>
          </cell>
          <cell r="B303" t="str">
            <v>Capital Charge - Depreciation</v>
          </cell>
        </row>
        <row r="304">
          <cell r="A304">
            <v>2010</v>
          </cell>
          <cell r="B304" t="str">
            <v>Movement in Value - Investment Property</v>
          </cell>
        </row>
        <row r="305">
          <cell r="A305">
            <v>2020</v>
          </cell>
          <cell r="B305" t="str">
            <v>Losses on impairment of assets</v>
          </cell>
        </row>
        <row r="306">
          <cell r="A306">
            <v>2021</v>
          </cell>
          <cell r="B306" t="str">
            <v>Impairment - Reversals</v>
          </cell>
        </row>
        <row r="307">
          <cell r="A307">
            <v>2030</v>
          </cell>
          <cell r="B307" t="str">
            <v>Amortisation of intangible assets</v>
          </cell>
        </row>
        <row r="308">
          <cell r="A308" t="str">
            <v>20cap</v>
          </cell>
          <cell r="B308" t="str">
            <v>Capital Charges</v>
          </cell>
        </row>
        <row r="309">
          <cell r="A309">
            <v>2100</v>
          </cell>
          <cell r="B309" t="str">
            <v>Interest paid</v>
          </cell>
        </row>
        <row r="310">
          <cell r="A310">
            <v>2110</v>
          </cell>
          <cell r="B310" t="str">
            <v>Debt management expenses</v>
          </cell>
        </row>
        <row r="311">
          <cell r="A311" t="str">
            <v>21cfin</v>
          </cell>
          <cell r="B311" t="str">
            <v>Capital Financing Costs</v>
          </cell>
        </row>
        <row r="312">
          <cell r="A312">
            <v>3000</v>
          </cell>
          <cell r="B312" t="str">
            <v>DCLG grants</v>
          </cell>
        </row>
        <row r="313">
          <cell r="A313">
            <v>3001</v>
          </cell>
          <cell r="B313" t="str">
            <v>DCLG - Council Tax Freeze Grant</v>
          </cell>
        </row>
        <row r="314">
          <cell r="A314">
            <v>3002</v>
          </cell>
          <cell r="B314" t="str">
            <v>DCLG - Community Rights to Challange New</v>
          </cell>
        </row>
        <row r="315">
          <cell r="A315">
            <v>3003</v>
          </cell>
          <cell r="B315" t="str">
            <v>DCLG - Neighbourhood Plans</v>
          </cell>
        </row>
        <row r="316">
          <cell r="A316">
            <v>3004</v>
          </cell>
          <cell r="B316" t="str">
            <v>DCLG - New Homes Bonus Scheme</v>
          </cell>
        </row>
        <row r="317">
          <cell r="A317">
            <v>3005</v>
          </cell>
          <cell r="B317" t="str">
            <v>DCLG - New Burdens - Assets of Community</v>
          </cell>
        </row>
        <row r="318">
          <cell r="A318">
            <v>3006</v>
          </cell>
          <cell r="B318" t="str">
            <v>DCLG - Business Rates 2% Inflation Cap</v>
          </cell>
        </row>
        <row r="319">
          <cell r="A319">
            <v>3007</v>
          </cell>
          <cell r="B319" t="str">
            <v>DCLG - Business Rates Reoccupation Relie</v>
          </cell>
        </row>
        <row r="320">
          <cell r="A320">
            <v>3008</v>
          </cell>
          <cell r="B320" t="str">
            <v>DCLG - Business Rates Retail Relief</v>
          </cell>
        </row>
        <row r="321">
          <cell r="A321">
            <v>3009</v>
          </cell>
          <cell r="B321" t="str">
            <v>DCLG - S31 grant Small Business Rate Rel</v>
          </cell>
        </row>
        <row r="322">
          <cell r="A322">
            <v>3010</v>
          </cell>
          <cell r="B322" t="str">
            <v>DEFRA grants</v>
          </cell>
        </row>
        <row r="323">
          <cell r="A323">
            <v>3011</v>
          </cell>
          <cell r="B323" t="str">
            <v>DWP Subsidy Due</v>
          </cell>
        </row>
        <row r="324">
          <cell r="A324">
            <v>3012</v>
          </cell>
          <cell r="B324" t="str">
            <v>DWP - DHP receipts</v>
          </cell>
        </row>
        <row r="325">
          <cell r="A325">
            <v>3013</v>
          </cell>
          <cell r="B325" t="str">
            <v>DWP - HB Admin Subsidy</v>
          </cell>
        </row>
        <row r="326">
          <cell r="A326">
            <v>3014</v>
          </cell>
          <cell r="B326" t="str">
            <v>DWP - Rent Allowance Subsidy</v>
          </cell>
        </row>
        <row r="327">
          <cell r="A327">
            <v>3015</v>
          </cell>
          <cell r="B327" t="str">
            <v>DWP - Rent Rebates Subsidy</v>
          </cell>
        </row>
        <row r="328">
          <cell r="A328">
            <v>3016</v>
          </cell>
          <cell r="B328" t="str">
            <v>Other Government Grants Due</v>
          </cell>
        </row>
        <row r="329">
          <cell r="A329">
            <v>3017</v>
          </cell>
          <cell r="B329" t="str">
            <v>Cost of NNDR Collection Grant</v>
          </cell>
        </row>
        <row r="330">
          <cell r="A330" t="str">
            <v>30govg</v>
          </cell>
          <cell r="B330" t="str">
            <v>Government Grant Income</v>
          </cell>
        </row>
        <row r="331">
          <cell r="A331">
            <v>3100</v>
          </cell>
          <cell r="B331" t="str">
            <v>GRANT FUNDING OF REFCUS</v>
          </cell>
        </row>
        <row r="332">
          <cell r="A332">
            <v>3101</v>
          </cell>
          <cell r="B332" t="str">
            <v>County Council Contributions Received</v>
          </cell>
        </row>
        <row r="333">
          <cell r="A333">
            <v>3102</v>
          </cell>
          <cell r="B333" t="str">
            <v>Other Local Authorities Contrbutions Rec</v>
          </cell>
        </row>
        <row r="334">
          <cell r="A334">
            <v>3103</v>
          </cell>
          <cell r="B334" t="str">
            <v>Recycling Credits</v>
          </cell>
        </row>
        <row r="335">
          <cell r="A335">
            <v>3104</v>
          </cell>
          <cell r="B335" t="str">
            <v>Contributions Received - Private Sector</v>
          </cell>
        </row>
        <row r="336">
          <cell r="A336">
            <v>3105</v>
          </cell>
          <cell r="B336" t="str">
            <v>Arts Grants</v>
          </cell>
        </row>
        <row r="337">
          <cell r="A337">
            <v>3106</v>
          </cell>
          <cell r="B337" t="str">
            <v>Receipt of HB - B &amp; B Accommodation</v>
          </cell>
        </row>
        <row r="338">
          <cell r="A338">
            <v>3107</v>
          </cell>
          <cell r="B338" t="str">
            <v>Court Costs Recovered</v>
          </cell>
        </row>
        <row r="339">
          <cell r="A339">
            <v>3108</v>
          </cell>
          <cell r="B339" t="str">
            <v>Liability Orders</v>
          </cell>
        </row>
        <row r="340">
          <cell r="A340">
            <v>3109</v>
          </cell>
          <cell r="B340" t="str">
            <v>S106 monies for LA - Refuse</v>
          </cell>
        </row>
        <row r="341">
          <cell r="A341">
            <v>3110</v>
          </cell>
          <cell r="B341" t="str">
            <v>S106 monies for LA - Leisure</v>
          </cell>
        </row>
        <row r="342">
          <cell r="A342">
            <v>3111</v>
          </cell>
          <cell r="B342" t="str">
            <v>S106 monies for LA - Monitoring</v>
          </cell>
        </row>
        <row r="343">
          <cell r="A343">
            <v>3112</v>
          </cell>
          <cell r="B343" t="str">
            <v>Capital Grants &amp; Contributions</v>
          </cell>
        </row>
        <row r="344">
          <cell r="A344">
            <v>3113</v>
          </cell>
          <cell r="B344" t="str">
            <v>Sponsorship Income</v>
          </cell>
        </row>
        <row r="345">
          <cell r="A345">
            <v>3114</v>
          </cell>
          <cell r="B345" t="str">
            <v>Overpayments Recovered</v>
          </cell>
        </row>
        <row r="346">
          <cell r="A346">
            <v>3115</v>
          </cell>
          <cell r="B346" t="str">
            <v>Other grants received</v>
          </cell>
        </row>
        <row r="347">
          <cell r="A347">
            <v>3150</v>
          </cell>
          <cell r="B347" t="str">
            <v>WCC Contribution Due</v>
          </cell>
        </row>
        <row r="348">
          <cell r="A348">
            <v>3151</v>
          </cell>
          <cell r="B348" t="str">
            <v>OCC Contribution Due</v>
          </cell>
        </row>
        <row r="349">
          <cell r="A349">
            <v>3152</v>
          </cell>
          <cell r="B349" t="str">
            <v>Bicester Town Council Contrib Due</v>
          </cell>
        </row>
        <row r="350">
          <cell r="A350">
            <v>3153</v>
          </cell>
          <cell r="B350" t="str">
            <v>Recycling Credits</v>
          </cell>
        </row>
        <row r="351">
          <cell r="A351">
            <v>3154</v>
          </cell>
          <cell r="B351" t="str">
            <v>Other Reimbursements</v>
          </cell>
        </row>
        <row r="352">
          <cell r="A352">
            <v>3155</v>
          </cell>
          <cell r="B352" t="str">
            <v>General Contributions</v>
          </cell>
        </row>
        <row r="353">
          <cell r="A353">
            <v>3156</v>
          </cell>
          <cell r="B353" t="str">
            <v>Bicester Healthy New Towns</v>
          </cell>
        </row>
        <row r="354">
          <cell r="A354" t="str">
            <v>31othg</v>
          </cell>
          <cell r="B354" t="str">
            <v>Other Grants Reimb &amp; Conts</v>
          </cell>
        </row>
        <row r="355">
          <cell r="A355">
            <v>3200</v>
          </cell>
          <cell r="B355" t="str">
            <v>LPG Sales</v>
          </cell>
        </row>
        <row r="356">
          <cell r="A356">
            <v>3201</v>
          </cell>
          <cell r="B356" t="str">
            <v>Sale of Scrap Metal for Recycling</v>
          </cell>
        </row>
        <row r="357">
          <cell r="A357">
            <v>3202</v>
          </cell>
          <cell r="B357" t="str">
            <v>Sale Of Paper for Recycling (Small)</v>
          </cell>
        </row>
        <row r="358">
          <cell r="A358">
            <v>3203</v>
          </cell>
          <cell r="B358" t="str">
            <v>Sale of Batteries for recycling</v>
          </cell>
        </row>
        <row r="359">
          <cell r="A359">
            <v>3204</v>
          </cell>
          <cell r="B359" t="str">
            <v>Sale of Cans for recycling</v>
          </cell>
        </row>
        <row r="360">
          <cell r="A360">
            <v>3205</v>
          </cell>
          <cell r="B360" t="str">
            <v>Sale of WEEE for recycling</v>
          </cell>
        </row>
        <row r="361">
          <cell r="A361">
            <v>3206</v>
          </cell>
          <cell r="B361" t="str">
            <v>Sale of Glass for recycling</v>
          </cell>
        </row>
        <row r="362">
          <cell r="A362">
            <v>3207</v>
          </cell>
          <cell r="B362" t="str">
            <v>Sale of Textiles for recycling</v>
          </cell>
        </row>
        <row r="363">
          <cell r="A363">
            <v>3208</v>
          </cell>
          <cell r="B363" t="str">
            <v>Recycling Sales</v>
          </cell>
        </row>
        <row r="364">
          <cell r="A364">
            <v>3209</v>
          </cell>
          <cell r="B364" t="str">
            <v>Refuse Sales</v>
          </cell>
        </row>
        <row r="365">
          <cell r="A365">
            <v>3210</v>
          </cell>
          <cell r="B365" t="str">
            <v>Mixed Recyclable Gate Income</v>
          </cell>
        </row>
        <row r="366">
          <cell r="A366">
            <v>3211</v>
          </cell>
          <cell r="B366" t="str">
            <v>Compost Bins</v>
          </cell>
        </row>
        <row r="367">
          <cell r="A367">
            <v>3212</v>
          </cell>
          <cell r="B367" t="str">
            <v>Trade Waste Packages</v>
          </cell>
        </row>
        <row r="368">
          <cell r="A368">
            <v>3213</v>
          </cell>
          <cell r="B368" t="str">
            <v>Trade Refuse Sacks</v>
          </cell>
        </row>
        <row r="369">
          <cell r="A369">
            <v>3214</v>
          </cell>
          <cell r="B369" t="str">
            <v>Trade Refuse Labels</v>
          </cell>
        </row>
        <row r="370">
          <cell r="A370">
            <v>3215</v>
          </cell>
          <cell r="B370" t="str">
            <v>Refuse Sales - Schedule II Collections</v>
          </cell>
        </row>
        <row r="371">
          <cell r="A371">
            <v>3216</v>
          </cell>
          <cell r="B371" t="str">
            <v>Refuse Sales - Compostable Liners</v>
          </cell>
        </row>
        <row r="372">
          <cell r="A372">
            <v>3217</v>
          </cell>
          <cell r="B372" t="str">
            <v>Wheeled Bin Sales</v>
          </cell>
        </row>
        <row r="373">
          <cell r="A373">
            <v>3218</v>
          </cell>
          <cell r="B373" t="str">
            <v>Garden Refuse Sacks</v>
          </cell>
        </row>
        <row r="374">
          <cell r="A374">
            <v>3219</v>
          </cell>
          <cell r="B374" t="str">
            <v>Recycling Box Sales</v>
          </cell>
        </row>
        <row r="375">
          <cell r="A375">
            <v>3220</v>
          </cell>
          <cell r="B375" t="str">
            <v>Trade Recycle Sacks</v>
          </cell>
        </row>
        <row r="376">
          <cell r="A376">
            <v>3221</v>
          </cell>
          <cell r="B376" t="str">
            <v>Catering &amp; Restaurant Sales</v>
          </cell>
        </row>
        <row r="377">
          <cell r="A377">
            <v>3222</v>
          </cell>
          <cell r="B377" t="str">
            <v>Planning Sales (Copy Applications)</v>
          </cell>
        </row>
        <row r="378">
          <cell r="A378">
            <v>3223</v>
          </cell>
          <cell r="B378" t="str">
            <v>Solar Panels (PV) Feed in Tariff</v>
          </cell>
        </row>
        <row r="379">
          <cell r="A379">
            <v>3224</v>
          </cell>
          <cell r="B379" t="str">
            <v>Sale of Electoral Register/ Address Info</v>
          </cell>
        </row>
        <row r="380">
          <cell r="A380">
            <v>3225</v>
          </cell>
          <cell r="B380" t="str">
            <v>Books &amp; Publications</v>
          </cell>
        </row>
        <row r="381">
          <cell r="A381">
            <v>3226</v>
          </cell>
          <cell r="B381" t="str">
            <v>Sale of Documents</v>
          </cell>
        </row>
        <row r="382">
          <cell r="A382">
            <v>3227</v>
          </cell>
          <cell r="B382" t="str">
            <v>Other commercial sales</v>
          </cell>
        </row>
        <row r="383">
          <cell r="A383">
            <v>3228</v>
          </cell>
          <cell r="B383" t="str">
            <v>Other Sales</v>
          </cell>
        </row>
        <row r="384">
          <cell r="A384">
            <v>3229</v>
          </cell>
          <cell r="B384" t="str">
            <v>Proceeds from the sale of fixed assets</v>
          </cell>
        </row>
        <row r="385">
          <cell r="A385">
            <v>3230</v>
          </cell>
          <cell r="B385" t="str">
            <v>Deminimus Capital Receipts (&lt;10K)</v>
          </cell>
        </row>
        <row r="386">
          <cell r="A386">
            <v>3260</v>
          </cell>
          <cell r="B386" t="str">
            <v>Staff Restaurant Sales</v>
          </cell>
        </row>
        <row r="387">
          <cell r="A387">
            <v>3261</v>
          </cell>
          <cell r="B387" t="str">
            <v>Civic Catering</v>
          </cell>
        </row>
        <row r="388">
          <cell r="A388">
            <v>3262</v>
          </cell>
          <cell r="B388" t="str">
            <v>Equipment Sales</v>
          </cell>
        </row>
        <row r="389">
          <cell r="A389" t="str">
            <v>32cuclr</v>
          </cell>
          <cell r="B389" t="str">
            <v>Customer &amp; Client Receipts</v>
          </cell>
        </row>
        <row r="390">
          <cell r="A390">
            <v>3320</v>
          </cell>
          <cell r="B390" t="str">
            <v>Fees and charges</v>
          </cell>
        </row>
        <row r="391">
          <cell r="A391">
            <v>3321</v>
          </cell>
          <cell r="B391" t="str">
            <v>Car Park Income - Excess Charges</v>
          </cell>
        </row>
        <row r="392">
          <cell r="A392">
            <v>3322</v>
          </cell>
          <cell r="B392" t="str">
            <v>Car Park Income - General</v>
          </cell>
        </row>
        <row r="393">
          <cell r="A393">
            <v>3323</v>
          </cell>
          <cell r="B393" t="str">
            <v>Car Park Income - Reservation of Spaces</v>
          </cell>
        </row>
        <row r="394">
          <cell r="A394">
            <v>3324</v>
          </cell>
          <cell r="B394" t="str">
            <v>Car Park Income - Ringgo (Telephone Car</v>
          </cell>
        </row>
        <row r="395">
          <cell r="A395">
            <v>3325</v>
          </cell>
          <cell r="B395" t="str">
            <v>Car Park Income - Season Tickets</v>
          </cell>
        </row>
        <row r="396">
          <cell r="A396">
            <v>3326</v>
          </cell>
          <cell r="B396" t="str">
            <v>Building Regs - Inspection Fees</v>
          </cell>
        </row>
        <row r="397">
          <cell r="A397">
            <v>3327</v>
          </cell>
          <cell r="B397" t="str">
            <v>Building Regs - Notice Fees</v>
          </cell>
        </row>
        <row r="398">
          <cell r="A398">
            <v>3328</v>
          </cell>
          <cell r="B398" t="str">
            <v>Building Regs - Full Plans</v>
          </cell>
        </row>
        <row r="399">
          <cell r="A399">
            <v>3329</v>
          </cell>
          <cell r="B399" t="str">
            <v>Building Regs - Regularisation Fees</v>
          </cell>
        </row>
        <row r="400">
          <cell r="A400">
            <v>3330</v>
          </cell>
          <cell r="B400" t="str">
            <v>Bulky Waste/Special Collection</v>
          </cell>
        </row>
        <row r="401">
          <cell r="A401">
            <v>3331</v>
          </cell>
          <cell r="B401" t="str">
            <v>Bus Station - Departure Charges</v>
          </cell>
        </row>
        <row r="402">
          <cell r="A402">
            <v>3332</v>
          </cell>
          <cell r="B402" t="str">
            <v>Contract Fee Income</v>
          </cell>
        </row>
        <row r="403">
          <cell r="A403">
            <v>3333</v>
          </cell>
          <cell r="B403" t="str">
            <v>Course Fee Income</v>
          </cell>
        </row>
        <row r="404">
          <cell r="A404">
            <v>3334</v>
          </cell>
          <cell r="B404" t="str">
            <v>Credit Card Surcharge</v>
          </cell>
        </row>
        <row r="405">
          <cell r="A405">
            <v>3335</v>
          </cell>
          <cell r="B405" t="str">
            <v>Dog Release Fee</v>
          </cell>
        </row>
        <row r="406">
          <cell r="A406">
            <v>3336</v>
          </cell>
          <cell r="B406" t="str">
            <v>Environmental Protection Act Fees</v>
          </cell>
        </row>
        <row r="407">
          <cell r="A407">
            <v>3337</v>
          </cell>
          <cell r="B407" t="str">
            <v>Home Improvement Agrency Fees</v>
          </cell>
        </row>
        <row r="408">
          <cell r="A408">
            <v>3338</v>
          </cell>
          <cell r="B408" t="str">
            <v>Market Stall Holder Income</v>
          </cell>
        </row>
        <row r="409">
          <cell r="A409">
            <v>3339</v>
          </cell>
          <cell r="B409" t="str">
            <v>Miscellaneous Commissions (Salary Sacrif</v>
          </cell>
        </row>
        <row r="410">
          <cell r="A410">
            <v>3340</v>
          </cell>
          <cell r="B410" t="str">
            <v>Local Land Charges</v>
          </cell>
        </row>
        <row r="411">
          <cell r="A411">
            <v>3341</v>
          </cell>
          <cell r="B411" t="str">
            <v>Planning  - Application Fees</v>
          </cell>
        </row>
        <row r="412">
          <cell r="A412">
            <v>3342</v>
          </cell>
          <cell r="B412" t="str">
            <v>Planning - Pre- Application Advice</v>
          </cell>
        </row>
        <row r="413">
          <cell r="A413">
            <v>3343</v>
          </cell>
          <cell r="B413" t="str">
            <v>Bailiffs Fees Recovered</v>
          </cell>
        </row>
        <row r="414">
          <cell r="A414">
            <v>3344</v>
          </cell>
          <cell r="B414" t="str">
            <v>Court Costs Recovered</v>
          </cell>
        </row>
        <row r="415">
          <cell r="A415">
            <v>3345</v>
          </cell>
          <cell r="B415" t="str">
            <v>CRB Fees Received</v>
          </cell>
        </row>
        <row r="416">
          <cell r="A416">
            <v>3346</v>
          </cell>
          <cell r="B416" t="str">
            <v>F.O.I. Request Income</v>
          </cell>
        </row>
        <row r="417">
          <cell r="A417">
            <v>3347</v>
          </cell>
          <cell r="B417" t="str">
            <v>Fines income</v>
          </cell>
        </row>
        <row r="418">
          <cell r="A418">
            <v>3348</v>
          </cell>
          <cell r="B418" t="str">
            <v>HMO Registrations</v>
          </cell>
        </row>
        <row r="419">
          <cell r="A419">
            <v>3349</v>
          </cell>
          <cell r="B419" t="str">
            <v>Homelessness Prevention Fund Reimbursed</v>
          </cell>
        </row>
        <row r="420">
          <cell r="A420">
            <v>3350</v>
          </cell>
          <cell r="B420" t="str">
            <v>Insurance Income</v>
          </cell>
        </row>
        <row r="421">
          <cell r="A421">
            <v>3351</v>
          </cell>
          <cell r="B421" t="str">
            <v>Legal Costs Recovered</v>
          </cell>
        </row>
        <row r="422">
          <cell r="A422">
            <v>3352</v>
          </cell>
          <cell r="B422" t="str">
            <v>Legal Costs - Planning Agreements/Obliga</v>
          </cell>
        </row>
        <row r="423">
          <cell r="A423">
            <v>3353</v>
          </cell>
          <cell r="B423" t="str">
            <v>Miscellaneous Commissions</v>
          </cell>
        </row>
        <row r="424">
          <cell r="A424">
            <v>3354</v>
          </cell>
          <cell r="B424" t="str">
            <v>Ordnance Survey Copies</v>
          </cell>
        </row>
        <row r="425">
          <cell r="A425">
            <v>3355</v>
          </cell>
          <cell r="B425" t="str">
            <v>Other Refunds Received</v>
          </cell>
        </row>
        <row r="426">
          <cell r="A426">
            <v>3356</v>
          </cell>
          <cell r="B426" t="str">
            <v>Over-Bankings</v>
          </cell>
        </row>
        <row r="427">
          <cell r="A427">
            <v>3357</v>
          </cell>
          <cell r="B427" t="str">
            <v>Overpayments Recovered</v>
          </cell>
        </row>
        <row r="428">
          <cell r="A428">
            <v>3358</v>
          </cell>
          <cell r="B428" t="str">
            <v>Parish Council Elections</v>
          </cell>
        </row>
        <row r="429">
          <cell r="A429">
            <v>3359</v>
          </cell>
          <cell r="B429" t="str">
            <v>Photocopying Fees Recd</v>
          </cell>
        </row>
        <row r="430">
          <cell r="A430">
            <v>3360</v>
          </cell>
          <cell r="B430" t="str">
            <v>Receipt of HB - B &amp; B Accommodation</v>
          </cell>
        </row>
        <row r="431">
          <cell r="A431">
            <v>3361</v>
          </cell>
          <cell r="B431" t="str">
            <v>Recovery of Costs</v>
          </cell>
        </row>
        <row r="432">
          <cell r="A432">
            <v>3362</v>
          </cell>
          <cell r="B432" t="str">
            <v>Rent in Advance Reimbursed</v>
          </cell>
        </row>
        <row r="433">
          <cell r="A433">
            <v>3363</v>
          </cell>
          <cell r="B433" t="str">
            <v>S.106 Legal Costs Received</v>
          </cell>
        </row>
        <row r="434">
          <cell r="A434">
            <v>3364</v>
          </cell>
          <cell r="B434" t="str">
            <v>Subject Access Requests Income</v>
          </cell>
        </row>
        <row r="435">
          <cell r="A435">
            <v>3365</v>
          </cell>
          <cell r="B435" t="str">
            <v>Licence - Animal Boarding</v>
          </cell>
        </row>
        <row r="436">
          <cell r="A436">
            <v>3366</v>
          </cell>
          <cell r="B436" t="str">
            <v>Licence - Cafe Seating</v>
          </cell>
        </row>
        <row r="437">
          <cell r="A437">
            <v>3367</v>
          </cell>
          <cell r="B437" t="str">
            <v>Licence - Cinema</v>
          </cell>
        </row>
        <row r="438">
          <cell r="A438">
            <v>3368</v>
          </cell>
          <cell r="B438" t="str">
            <v>Licence - Club Premises</v>
          </cell>
        </row>
        <row r="439">
          <cell r="A439">
            <v>3369</v>
          </cell>
          <cell r="B439" t="str">
            <v>Licence - Ear Piercing/acupuncture</v>
          </cell>
        </row>
        <row r="440">
          <cell r="A440">
            <v>3370</v>
          </cell>
          <cell r="B440" t="str">
            <v>Licence - Gambling Act Lotteries</v>
          </cell>
        </row>
        <row r="441">
          <cell r="A441">
            <v>3371</v>
          </cell>
          <cell r="B441" t="str">
            <v>Licence - Gambling Permits</v>
          </cell>
        </row>
        <row r="442">
          <cell r="A442">
            <v>3372</v>
          </cell>
          <cell r="B442" t="str">
            <v>Licence - Gambling Premises</v>
          </cell>
        </row>
        <row r="443">
          <cell r="A443">
            <v>3373</v>
          </cell>
          <cell r="B443" t="str">
            <v>Licence - Market</v>
          </cell>
        </row>
        <row r="444">
          <cell r="A444">
            <v>3374</v>
          </cell>
          <cell r="B444" t="str">
            <v>Licence - MOT</v>
          </cell>
        </row>
        <row r="445">
          <cell r="A445">
            <v>3375</v>
          </cell>
          <cell r="B445" t="str">
            <v>Licence - Occupy Bus Station</v>
          </cell>
        </row>
        <row r="446">
          <cell r="A446">
            <v>3376</v>
          </cell>
          <cell r="B446" t="str">
            <v>Licence - Personal</v>
          </cell>
        </row>
        <row r="447">
          <cell r="A447">
            <v>3377</v>
          </cell>
          <cell r="B447" t="str">
            <v>Licence - Pet Shops</v>
          </cell>
        </row>
        <row r="448">
          <cell r="A448">
            <v>3378</v>
          </cell>
          <cell r="B448" t="str">
            <v>Licence - Premises</v>
          </cell>
        </row>
        <row r="449">
          <cell r="A449">
            <v>3379</v>
          </cell>
          <cell r="B449" t="str">
            <v>Licence - Public Entertainment</v>
          </cell>
        </row>
        <row r="450">
          <cell r="A450">
            <v>3380</v>
          </cell>
          <cell r="B450" t="str">
            <v>Licence - Riding Establishments</v>
          </cell>
        </row>
        <row r="451">
          <cell r="A451">
            <v>3381</v>
          </cell>
          <cell r="B451" t="str">
            <v>Licence - Scrap Yard</v>
          </cell>
        </row>
        <row r="452">
          <cell r="A452">
            <v>3382</v>
          </cell>
          <cell r="B452" t="str">
            <v>Licence - Street Trading Permits</v>
          </cell>
        </row>
        <row r="453">
          <cell r="A453">
            <v>3383</v>
          </cell>
          <cell r="B453" t="str">
            <v>Licence - Table &amp; Chairs Permit</v>
          </cell>
        </row>
        <row r="454">
          <cell r="A454">
            <v>3384</v>
          </cell>
          <cell r="B454" t="str">
            <v>Licence - Temporary Event Notice</v>
          </cell>
        </row>
        <row r="455">
          <cell r="A455">
            <v>3385</v>
          </cell>
          <cell r="B455" t="str">
            <v>Licence - Theatre</v>
          </cell>
        </row>
        <row r="456">
          <cell r="A456">
            <v>3386</v>
          </cell>
          <cell r="B456" t="str">
            <v>Licence - Vehicle</v>
          </cell>
        </row>
        <row r="457">
          <cell r="A457">
            <v>3387</v>
          </cell>
          <cell r="B457" t="str">
            <v>Licence - Wild Animal</v>
          </cell>
        </row>
        <row r="458">
          <cell r="A458">
            <v>3388</v>
          </cell>
          <cell r="B458" t="str">
            <v>Sports Income - Artificial Turf Pitch</v>
          </cell>
        </row>
        <row r="459">
          <cell r="A459">
            <v>3389</v>
          </cell>
          <cell r="B459" t="str">
            <v>Sports Income - Holiday Schemes</v>
          </cell>
        </row>
        <row r="460">
          <cell r="A460">
            <v>3390</v>
          </cell>
          <cell r="B460" t="str">
            <v>Sports Income - Other</v>
          </cell>
        </row>
        <row r="461">
          <cell r="A461">
            <v>3391</v>
          </cell>
          <cell r="B461" t="str">
            <v>Sports Income - Sports Hall</v>
          </cell>
        </row>
        <row r="462">
          <cell r="A462">
            <v>3392</v>
          </cell>
          <cell r="B462" t="str">
            <v>Works in Default</v>
          </cell>
        </row>
        <row r="463">
          <cell r="A463">
            <v>3393</v>
          </cell>
          <cell r="B463" t="str">
            <v>Water Sampling Fees</v>
          </cell>
        </row>
        <row r="464">
          <cell r="A464">
            <v>3394</v>
          </cell>
          <cell r="B464" t="str">
            <v>Treatment Costs (rodent costs, wasp nest</v>
          </cell>
        </row>
        <row r="465">
          <cell r="A465">
            <v>3395</v>
          </cell>
          <cell r="B465" t="str">
            <v>Other Fees &amp; Charges</v>
          </cell>
        </row>
        <row r="466">
          <cell r="A466" t="str">
            <v>33fees</v>
          </cell>
          <cell r="B466" t="str">
            <v>Fees and Charges</v>
          </cell>
        </row>
        <row r="467">
          <cell r="A467">
            <v>3400</v>
          </cell>
          <cell r="B467" t="str">
            <v>Ban Bridge Street - Car Park CDC</v>
          </cell>
        </row>
        <row r="468">
          <cell r="A468">
            <v>3401</v>
          </cell>
          <cell r="B468" t="str">
            <v>Ban Calthorpe St West - Car Park CDC</v>
          </cell>
        </row>
        <row r="469">
          <cell r="A469">
            <v>3402</v>
          </cell>
          <cell r="B469" t="str">
            <v>Ban Calthorpe St Ext - Car Park CDC</v>
          </cell>
        </row>
        <row r="470">
          <cell r="A470">
            <v>3403</v>
          </cell>
          <cell r="B470" t="str">
            <v>Ban Calthorpe St East - Car Park CDC</v>
          </cell>
        </row>
        <row r="471">
          <cell r="A471">
            <v>3404</v>
          </cell>
          <cell r="B471" t="str">
            <v>Ban Compton Road - Car Park CDC</v>
          </cell>
        </row>
        <row r="472">
          <cell r="A472">
            <v>3405</v>
          </cell>
          <cell r="B472" t="str">
            <v>Ban Horse Fair West - Car Park CDC</v>
          </cell>
        </row>
        <row r="473">
          <cell r="A473">
            <v>3406</v>
          </cell>
          <cell r="B473" t="str">
            <v>Ban Market Place - Car Park CDC</v>
          </cell>
        </row>
        <row r="474">
          <cell r="A474">
            <v>3407</v>
          </cell>
          <cell r="B474" t="str">
            <v>Ban North Bar East - Car Park CDC</v>
          </cell>
        </row>
        <row r="475">
          <cell r="A475">
            <v>3408</v>
          </cell>
          <cell r="B475" t="str">
            <v>Ban North Bar East - Car Park CDC</v>
          </cell>
        </row>
        <row r="476">
          <cell r="A476">
            <v>3409</v>
          </cell>
          <cell r="B476" t="str">
            <v>Ban Windsor Street - Car Park CDC</v>
          </cell>
        </row>
        <row r="477">
          <cell r="A477">
            <v>3410</v>
          </cell>
          <cell r="B477" t="str">
            <v>Ban South Bar - Car Park CDC</v>
          </cell>
        </row>
        <row r="478">
          <cell r="A478">
            <v>3411</v>
          </cell>
          <cell r="B478" t="str">
            <v>Ban Spiceball North - Car Park CDC</v>
          </cell>
        </row>
        <row r="479">
          <cell r="A479">
            <v>3412</v>
          </cell>
          <cell r="B479" t="str">
            <v>Ban Riverside 1 - Car Park CDC</v>
          </cell>
        </row>
        <row r="480">
          <cell r="A480">
            <v>3413</v>
          </cell>
          <cell r="B480" t="str">
            <v>Bic - Car Parks CDC (General)</v>
          </cell>
        </row>
        <row r="481">
          <cell r="A481">
            <v>3414</v>
          </cell>
          <cell r="B481" t="str">
            <v>Bic Claremont - Car Park CDC</v>
          </cell>
        </row>
        <row r="482">
          <cell r="A482">
            <v>3415</v>
          </cell>
          <cell r="B482" t="str">
            <v>Bic Franklins Yard - Car Park CDC</v>
          </cell>
        </row>
        <row r="483">
          <cell r="A483">
            <v>3416</v>
          </cell>
          <cell r="B483" t="str">
            <v>Bic Crown - Car Park CDC</v>
          </cell>
        </row>
        <row r="484">
          <cell r="A484">
            <v>3417</v>
          </cell>
          <cell r="B484" t="str">
            <v>Bic Market Square - Car Park CDC</v>
          </cell>
        </row>
        <row r="485">
          <cell r="A485">
            <v>3418</v>
          </cell>
          <cell r="B485" t="str">
            <v>Bic Chapel Brook - Car Park CDC</v>
          </cell>
        </row>
        <row r="486">
          <cell r="A486">
            <v>3419</v>
          </cell>
          <cell r="B486" t="str">
            <v>Bic Victoria Road - Car Park CDC</v>
          </cell>
        </row>
        <row r="487">
          <cell r="A487">
            <v>3420</v>
          </cell>
          <cell r="B487" t="str">
            <v>Bic Crown Walk - Car Park CDC</v>
          </cell>
        </row>
        <row r="488">
          <cell r="A488">
            <v>3421</v>
          </cell>
          <cell r="B488" t="str">
            <v>Bicester Cattle Market - Car Park CDC</v>
          </cell>
        </row>
        <row r="489">
          <cell r="A489">
            <v>3422</v>
          </cell>
          <cell r="B489" t="str">
            <v>Residents Parking - Car Park CDC</v>
          </cell>
        </row>
        <row r="490">
          <cell r="A490">
            <v>3423</v>
          </cell>
          <cell r="B490" t="str">
            <v>Ban Spiceball Temp Car Pk</v>
          </cell>
        </row>
        <row r="491">
          <cell r="A491">
            <v>3424</v>
          </cell>
          <cell r="B491" t="str">
            <v>Chamberlaine Court - Car Park CDC</v>
          </cell>
        </row>
        <row r="492">
          <cell r="A492">
            <v>3425</v>
          </cell>
          <cell r="B492" t="str">
            <v>The Mill - car park CDC</v>
          </cell>
        </row>
        <row r="493">
          <cell r="A493">
            <v>3426</v>
          </cell>
          <cell r="B493" t="str">
            <v>Bolton Road - Car Park CDC</v>
          </cell>
        </row>
        <row r="494">
          <cell r="A494">
            <v>3500</v>
          </cell>
          <cell r="B494" t="str">
            <v>Rental Income (Commercial)</v>
          </cell>
        </row>
        <row r="495">
          <cell r="A495">
            <v>3501</v>
          </cell>
          <cell r="B495" t="str">
            <v>Rental Income (Residential)</v>
          </cell>
        </row>
        <row r="496">
          <cell r="A496">
            <v>3502</v>
          </cell>
          <cell r="B496" t="str">
            <v>Rental Income - Shared Ownership</v>
          </cell>
        </row>
        <row r="497">
          <cell r="A497">
            <v>3503</v>
          </cell>
          <cell r="B497" t="str">
            <v>Ground Rent Received</v>
          </cell>
        </row>
        <row r="498">
          <cell r="A498">
            <v>3504</v>
          </cell>
          <cell r="B498" t="str">
            <v>Hire of Rooms</v>
          </cell>
        </row>
        <row r="499">
          <cell r="A499">
            <v>3505</v>
          </cell>
          <cell r="B499" t="str">
            <v>Finance Lease Income</v>
          </cell>
        </row>
        <row r="500">
          <cell r="A500">
            <v>3510</v>
          </cell>
          <cell r="B500" t="str">
            <v>Rented Properties - Service Charges</v>
          </cell>
        </row>
        <row r="501">
          <cell r="A501">
            <v>3511</v>
          </cell>
          <cell r="B501" t="str">
            <v>Electricity Charges Recovered</v>
          </cell>
        </row>
        <row r="502">
          <cell r="A502">
            <v>3512</v>
          </cell>
          <cell r="B502" t="str">
            <v>Contribution from Pathlow Tenants</v>
          </cell>
        </row>
        <row r="503">
          <cell r="A503">
            <v>3513</v>
          </cell>
          <cell r="B503" t="str">
            <v>Rented Properties - Insurances Recovered</v>
          </cell>
        </row>
        <row r="504">
          <cell r="A504">
            <v>3514</v>
          </cell>
          <cell r="B504" t="str">
            <v>Other Premises(Non-Rent) Inc</v>
          </cell>
        </row>
        <row r="505">
          <cell r="A505">
            <v>3520</v>
          </cell>
          <cell r="B505" t="str">
            <v>Pitch Hire Fees</v>
          </cell>
        </row>
        <row r="506">
          <cell r="A506">
            <v>3521</v>
          </cell>
          <cell r="B506" t="str">
            <v>Hire Charges</v>
          </cell>
        </row>
        <row r="507">
          <cell r="A507">
            <v>3530</v>
          </cell>
          <cell r="B507" t="str">
            <v>Farmer Tenancy</v>
          </cell>
        </row>
        <row r="508">
          <cell r="A508">
            <v>3531</v>
          </cell>
          <cell r="B508" t="str">
            <v>Fishing Rights Received</v>
          </cell>
        </row>
        <row r="509">
          <cell r="A509">
            <v>3532</v>
          </cell>
          <cell r="B509" t="str">
            <v>Mooring Rights Received</v>
          </cell>
        </row>
        <row r="510">
          <cell r="A510">
            <v>3533</v>
          </cell>
          <cell r="B510" t="str">
            <v>Deckchairs/Putting Green Licence</v>
          </cell>
        </row>
        <row r="511">
          <cell r="A511">
            <v>3534</v>
          </cell>
          <cell r="B511" t="str">
            <v>Sale of Refreshments Licence</v>
          </cell>
        </row>
        <row r="512">
          <cell r="A512">
            <v>3535</v>
          </cell>
          <cell r="B512" t="str">
            <v>Ferry Licence Fees</v>
          </cell>
        </row>
        <row r="513">
          <cell r="A513">
            <v>3536</v>
          </cell>
          <cell r="B513" t="str">
            <v>Catering Rights</v>
          </cell>
        </row>
        <row r="514">
          <cell r="A514" t="str">
            <v>35rent</v>
          </cell>
          <cell r="B514" t="str">
            <v>Rent Income</v>
          </cell>
        </row>
        <row r="515">
          <cell r="A515">
            <v>3600</v>
          </cell>
          <cell r="B515" t="str">
            <v>Interest - Investment</v>
          </cell>
        </row>
        <row r="516">
          <cell r="A516">
            <v>3601</v>
          </cell>
          <cell r="B516" t="str">
            <v>Interest - Mortgages</v>
          </cell>
        </row>
        <row r="517">
          <cell r="A517">
            <v>3602</v>
          </cell>
          <cell r="B517" t="str">
            <v>Interest - Loans</v>
          </cell>
        </row>
        <row r="518">
          <cell r="A518">
            <v>3603</v>
          </cell>
          <cell r="B518" t="str">
            <v>Interest - Penalty Income</v>
          </cell>
        </row>
        <row r="519">
          <cell r="A519">
            <v>3604</v>
          </cell>
          <cell r="B519" t="str">
            <v>Interest - Iceland (Glitnr)</v>
          </cell>
        </row>
        <row r="520">
          <cell r="A520">
            <v>3605</v>
          </cell>
          <cell r="B520" t="str">
            <v>Interest - Car Loan</v>
          </cell>
        </row>
        <row r="521">
          <cell r="A521">
            <v>3606</v>
          </cell>
          <cell r="B521" t="str">
            <v>Interest - Other Received</v>
          </cell>
        </row>
        <row r="522">
          <cell r="A522" t="str">
            <v>36int</v>
          </cell>
          <cell r="B522" t="str">
            <v>Interest Income</v>
          </cell>
        </row>
        <row r="523">
          <cell r="A523">
            <v>3700</v>
          </cell>
          <cell r="B523" t="str">
            <v>Central Support</v>
          </cell>
        </row>
        <row r="524">
          <cell r="A524">
            <v>3701</v>
          </cell>
          <cell r="B524" t="str">
            <v>Recharge to Support Services</v>
          </cell>
        </row>
        <row r="525">
          <cell r="A525">
            <v>3702</v>
          </cell>
          <cell r="B525" t="str">
            <v>Recharge to Direct Services</v>
          </cell>
        </row>
        <row r="526">
          <cell r="A526">
            <v>3710</v>
          </cell>
          <cell r="B526" t="str">
            <v>Internal Departmental Recharges</v>
          </cell>
        </row>
        <row r="527">
          <cell r="A527">
            <v>3711</v>
          </cell>
          <cell r="B527" t="str">
            <v>Movement on General Fund Balance (Cr)</v>
          </cell>
        </row>
        <row r="528">
          <cell r="A528">
            <v>3712</v>
          </cell>
          <cell r="B528" t="str">
            <v>Transfer of Revenue Balances (Cr)</v>
          </cell>
        </row>
        <row r="529">
          <cell r="A529">
            <v>3713</v>
          </cell>
          <cell r="B529" t="str">
            <v>Capital Charges: Investmt Props - MiVal</v>
          </cell>
        </row>
        <row r="530">
          <cell r="A530">
            <v>3714</v>
          </cell>
          <cell r="B530" t="str">
            <v>Soft Loan Appropriation</v>
          </cell>
        </row>
        <row r="531">
          <cell r="A531">
            <v>3715</v>
          </cell>
          <cell r="B531" t="str">
            <v>Other Internal Recharge Income</v>
          </cell>
        </row>
        <row r="532">
          <cell r="A532">
            <v>3716</v>
          </cell>
          <cell r="B532" t="str">
            <v>Annual Recharge re Commuted Sums</v>
          </cell>
        </row>
        <row r="533">
          <cell r="A533">
            <v>3717</v>
          </cell>
          <cell r="B533" t="str">
            <v>Internal Recharge from Capital Receipts</v>
          </cell>
        </row>
        <row r="534">
          <cell r="A534">
            <v>3718</v>
          </cell>
          <cell r="B534" t="str">
            <v>Capital Charges: Impairments</v>
          </cell>
        </row>
        <row r="535">
          <cell r="A535">
            <v>3719</v>
          </cell>
          <cell r="B535" t="str">
            <v>Capital Charges: Depreciation</v>
          </cell>
        </row>
        <row r="536">
          <cell r="A536">
            <v>3720</v>
          </cell>
          <cell r="B536" t="str">
            <v>Capital Charges - Grants/Contrs/s106</v>
          </cell>
        </row>
        <row r="537">
          <cell r="A537">
            <v>3721</v>
          </cell>
          <cell r="B537" t="str">
            <v>Capital Charges - Intangible Fixed Asset</v>
          </cell>
        </row>
        <row r="538">
          <cell r="A538">
            <v>3722</v>
          </cell>
          <cell r="B538" t="str">
            <v>Internal Recharges (Allocation to Strate</v>
          </cell>
        </row>
        <row r="539">
          <cell r="A539">
            <v>3723</v>
          </cell>
          <cell r="B539" t="str">
            <v>Internal Recharges (Recharge to other Co</v>
          </cell>
        </row>
        <row r="540">
          <cell r="A540" t="str">
            <v>37rech</v>
          </cell>
          <cell r="B540" t="str">
            <v>Recharges to Other Accounts</v>
          </cell>
        </row>
        <row r="541">
          <cell r="A541">
            <v>4000</v>
          </cell>
          <cell r="B541" t="str">
            <v>Balance Brought Forward</v>
          </cell>
        </row>
        <row r="542">
          <cell r="A542">
            <v>4100</v>
          </cell>
          <cell r="B542" t="str">
            <v>Contractors Capital Payments</v>
          </cell>
        </row>
        <row r="543">
          <cell r="A543">
            <v>4110</v>
          </cell>
          <cell r="B543" t="str">
            <v>Acquisition of an Asset</v>
          </cell>
        </row>
        <row r="544">
          <cell r="A544">
            <v>4150</v>
          </cell>
          <cell r="B544" t="str">
            <v>Cost Adjustment for Disposal</v>
          </cell>
        </row>
        <row r="545">
          <cell r="A545">
            <v>4151</v>
          </cell>
          <cell r="B545" t="str">
            <v>Cost adjustment for Revaluation</v>
          </cell>
        </row>
        <row r="546">
          <cell r="A546">
            <v>4152</v>
          </cell>
          <cell r="B546" t="str">
            <v>Other Cost adjustment</v>
          </cell>
        </row>
        <row r="547">
          <cell r="A547">
            <v>4153</v>
          </cell>
          <cell r="B547" t="str">
            <v>Cost adjustment for Impairment</v>
          </cell>
        </row>
        <row r="548">
          <cell r="A548">
            <v>4170</v>
          </cell>
          <cell r="B548" t="str">
            <v>Depreciation charge (Accumulated)</v>
          </cell>
        </row>
        <row r="549">
          <cell r="A549">
            <v>4171</v>
          </cell>
          <cell r="B549" t="str">
            <v>Depreciation adjustment for Disposal</v>
          </cell>
        </row>
        <row r="550">
          <cell r="A550">
            <v>4172</v>
          </cell>
          <cell r="B550" t="str">
            <v>Depreciation adjustment for Revaluation</v>
          </cell>
        </row>
        <row r="551">
          <cell r="A551">
            <v>4173</v>
          </cell>
          <cell r="B551" t="str">
            <v>Other Depreciation adjustment</v>
          </cell>
        </row>
        <row r="552">
          <cell r="A552">
            <v>4174</v>
          </cell>
          <cell r="B552" t="str">
            <v>Depreciation adjustment for Impairment</v>
          </cell>
        </row>
        <row r="553">
          <cell r="A553" t="str">
            <v>41cwrk</v>
          </cell>
          <cell r="B553" t="str">
            <v>Capital Works</v>
          </cell>
        </row>
        <row r="554">
          <cell r="A554">
            <v>4200</v>
          </cell>
          <cell r="B554" t="str">
            <v>Acquisition of Plant / Machinery</v>
          </cell>
        </row>
        <row r="555">
          <cell r="A555">
            <v>4210</v>
          </cell>
          <cell r="B555" t="str">
            <v>Acquisition Computer Hardware</v>
          </cell>
        </row>
        <row r="556">
          <cell r="A556">
            <v>4211</v>
          </cell>
          <cell r="B556" t="str">
            <v>Acquisition Computer Software</v>
          </cell>
        </row>
        <row r="557">
          <cell r="A557">
            <v>4300</v>
          </cell>
          <cell r="B557" t="str">
            <v>Consulting Engineers (Capital)</v>
          </cell>
        </row>
        <row r="558">
          <cell r="A558">
            <v>4310</v>
          </cell>
          <cell r="B558" t="str">
            <v>Other Prof.Fees (Capital)</v>
          </cell>
        </row>
        <row r="559">
          <cell r="A559">
            <v>4400</v>
          </cell>
          <cell r="B559" t="str">
            <v>Renovation Grants Paid</v>
          </cell>
        </row>
        <row r="560">
          <cell r="A560">
            <v>4410</v>
          </cell>
          <cell r="B560" t="str">
            <v>Section 106 Expenditure</v>
          </cell>
        </row>
        <row r="561">
          <cell r="A561">
            <v>4411</v>
          </cell>
          <cell r="B561" t="str">
            <v>Other Capital Grants Paid</v>
          </cell>
        </row>
        <row r="562">
          <cell r="A562">
            <v>4412</v>
          </cell>
          <cell r="B562" t="str">
            <v>S106 payments for County Council</v>
          </cell>
        </row>
        <row r="563">
          <cell r="A563">
            <v>4413</v>
          </cell>
          <cell r="B563" t="str">
            <v>S106 payments for Parish Council</v>
          </cell>
        </row>
        <row r="564">
          <cell r="A564">
            <v>4414</v>
          </cell>
          <cell r="B564" t="str">
            <v>S106 payment for Local Authority (CDC)</v>
          </cell>
        </row>
        <row r="565">
          <cell r="A565">
            <v>4500</v>
          </cell>
          <cell r="B565" t="str">
            <v>Miscellaneous Capital Items</v>
          </cell>
        </row>
        <row r="566">
          <cell r="A566">
            <v>4600</v>
          </cell>
          <cell r="B566" t="str">
            <v>Payment Refunded</v>
          </cell>
        </row>
        <row r="567">
          <cell r="A567">
            <v>4601</v>
          </cell>
          <cell r="B567" t="str">
            <v>Debtor Refunds</v>
          </cell>
        </row>
        <row r="568">
          <cell r="A568">
            <v>4602</v>
          </cell>
          <cell r="B568" t="str">
            <v>Cash Paid To Collector of Tax</v>
          </cell>
        </row>
        <row r="569">
          <cell r="A569">
            <v>4603</v>
          </cell>
          <cell r="B569" t="str">
            <v>Payments Made</v>
          </cell>
        </row>
        <row r="570">
          <cell r="A570">
            <v>4604</v>
          </cell>
          <cell r="B570" t="str">
            <v>Returned BACS</v>
          </cell>
        </row>
        <row r="571">
          <cell r="A571">
            <v>4605</v>
          </cell>
          <cell r="B571" t="str">
            <v>Car Loan Advances Made</v>
          </cell>
        </row>
        <row r="572">
          <cell r="A572">
            <v>4606</v>
          </cell>
          <cell r="B572" t="str">
            <v>External Investment Made</v>
          </cell>
        </row>
        <row r="573">
          <cell r="A573">
            <v>4607</v>
          </cell>
          <cell r="B573" t="str">
            <v>VAT On Inputs</v>
          </cell>
        </row>
        <row r="574">
          <cell r="A574">
            <v>4608</v>
          </cell>
          <cell r="B574" t="str">
            <v>Stores Purchases</v>
          </cell>
        </row>
        <row r="575">
          <cell r="A575">
            <v>4609</v>
          </cell>
          <cell r="B575" t="str">
            <v>VAT Holding Account</v>
          </cell>
        </row>
        <row r="576">
          <cell r="A576">
            <v>4610</v>
          </cell>
          <cell r="B576" t="str">
            <v>County Precept Paid</v>
          </cell>
        </row>
        <row r="577">
          <cell r="A577">
            <v>4611</v>
          </cell>
          <cell r="B577" t="str">
            <v>Police Authority Precept</v>
          </cell>
        </row>
        <row r="578">
          <cell r="A578">
            <v>4612</v>
          </cell>
          <cell r="B578" t="str">
            <v>CDC Precept (This Yr.) Paid</v>
          </cell>
        </row>
        <row r="579">
          <cell r="A579">
            <v>4613</v>
          </cell>
          <cell r="B579" t="str">
            <v>Town and Parish Precepts</v>
          </cell>
        </row>
        <row r="580">
          <cell r="A580">
            <v>4614</v>
          </cell>
          <cell r="B580" t="str">
            <v>Vat on Inputs - Journals</v>
          </cell>
        </row>
        <row r="581">
          <cell r="A581">
            <v>4700</v>
          </cell>
          <cell r="B581" t="str">
            <v>Cash Received (Contra Entry)</v>
          </cell>
        </row>
        <row r="582">
          <cell r="A582">
            <v>4701</v>
          </cell>
          <cell r="B582" t="str">
            <v>Invoices Raised</v>
          </cell>
        </row>
        <row r="583">
          <cell r="A583">
            <v>4702</v>
          </cell>
          <cell r="B583" t="str">
            <v>Gross Debit Raised (Dr)</v>
          </cell>
        </row>
        <row r="584">
          <cell r="A584">
            <v>4703</v>
          </cell>
          <cell r="B584" t="str">
            <v>Unoccupied Property Rate Raise (Dr)</v>
          </cell>
        </row>
        <row r="585">
          <cell r="A585">
            <v>4704</v>
          </cell>
          <cell r="B585" t="str">
            <v>Exemptions</v>
          </cell>
        </row>
        <row r="586">
          <cell r="A586">
            <v>4705</v>
          </cell>
          <cell r="B586" t="str">
            <v>Small Business Allowance</v>
          </cell>
        </row>
        <row r="587">
          <cell r="A587">
            <v>4706</v>
          </cell>
          <cell r="B587" t="str">
            <v>Discounts (Dr)</v>
          </cell>
        </row>
        <row r="588">
          <cell r="A588">
            <v>4707</v>
          </cell>
          <cell r="B588" t="str">
            <v>Exemptions (Dr)</v>
          </cell>
        </row>
        <row r="589">
          <cell r="A589">
            <v>4708</v>
          </cell>
          <cell r="B589" t="str">
            <v>Disability Allowances (Dr)</v>
          </cell>
        </row>
        <row r="590">
          <cell r="A590">
            <v>4709</v>
          </cell>
          <cell r="B590" t="str">
            <v>Charitable Relief (Dr)</v>
          </cell>
        </row>
        <row r="591">
          <cell r="A591">
            <v>4710</v>
          </cell>
          <cell r="B591" t="str">
            <v>Transistional Relief (Dr)</v>
          </cell>
        </row>
        <row r="592">
          <cell r="A592">
            <v>4711</v>
          </cell>
          <cell r="B592" t="str">
            <v>Irrecoverable Items (Dr)</v>
          </cell>
        </row>
        <row r="593">
          <cell r="A593">
            <v>4712</v>
          </cell>
          <cell r="B593" t="str">
            <v>Transfers</v>
          </cell>
        </row>
        <row r="594">
          <cell r="A594">
            <v>4713</v>
          </cell>
          <cell r="B594" t="str">
            <v>Costs/Penalties (Dr)</v>
          </cell>
        </row>
        <row r="595">
          <cell r="A595">
            <v>4714</v>
          </cell>
          <cell r="B595" t="str">
            <v>Interest re NNDR</v>
          </cell>
        </row>
        <row r="596">
          <cell r="A596">
            <v>4715</v>
          </cell>
          <cell r="B596" t="str">
            <v>Rent Advances (Dr)</v>
          </cell>
        </row>
        <row r="597">
          <cell r="A597">
            <v>4716</v>
          </cell>
          <cell r="B597" t="str">
            <v>IAS 19 Pensions (Dr)</v>
          </cell>
        </row>
        <row r="598">
          <cell r="A598">
            <v>4717</v>
          </cell>
          <cell r="B598" t="str">
            <v>Interest Due (Dr)</v>
          </cell>
        </row>
        <row r="599">
          <cell r="A599">
            <v>4718</v>
          </cell>
          <cell r="B599" t="str">
            <v>Principal Due (Dr)</v>
          </cell>
        </row>
        <row r="600">
          <cell r="A600">
            <v>4719</v>
          </cell>
          <cell r="B600" t="str">
            <v>DWP Subsidy Due (Dr)</v>
          </cell>
        </row>
        <row r="601">
          <cell r="A601">
            <v>4720</v>
          </cell>
          <cell r="B601" t="str">
            <v>HMRC VAT Refund Due (Dr)</v>
          </cell>
        </row>
        <row r="602">
          <cell r="A602">
            <v>4721</v>
          </cell>
          <cell r="B602" t="str">
            <v>Credited To Balance Sheet</v>
          </cell>
        </row>
        <row r="603">
          <cell r="A603">
            <v>4722</v>
          </cell>
          <cell r="B603" t="str">
            <v>Credited to Other Accounts</v>
          </cell>
        </row>
        <row r="604">
          <cell r="A604">
            <v>4723</v>
          </cell>
          <cell r="B604" t="str">
            <v>Mortgagors Principal Due (Dr)</v>
          </cell>
        </row>
        <row r="605">
          <cell r="A605">
            <v>4724</v>
          </cell>
          <cell r="B605" t="str">
            <v>Prov Debtors-Net Movements</v>
          </cell>
        </row>
        <row r="606">
          <cell r="A606">
            <v>4725</v>
          </cell>
          <cell r="B606" t="str">
            <v>Unpaid Creditors</v>
          </cell>
        </row>
        <row r="607">
          <cell r="A607">
            <v>4726</v>
          </cell>
          <cell r="B607" t="str">
            <v>NNDR - County Council</v>
          </cell>
        </row>
        <row r="608">
          <cell r="A608">
            <v>4727</v>
          </cell>
          <cell r="B608" t="str">
            <v>NNDR - Central Government</v>
          </cell>
        </row>
        <row r="609">
          <cell r="A609">
            <v>4728</v>
          </cell>
          <cell r="B609" t="str">
            <v>NNDR - Billing Authority</v>
          </cell>
        </row>
        <row r="610">
          <cell r="A610">
            <v>4729</v>
          </cell>
          <cell r="B610" t="str">
            <v>CTAX - County Council</v>
          </cell>
        </row>
        <row r="611">
          <cell r="A611">
            <v>4730</v>
          </cell>
          <cell r="B611" t="str">
            <v>CTAX - Police and Crime Commissioner</v>
          </cell>
        </row>
        <row r="612">
          <cell r="A612">
            <v>4731</v>
          </cell>
          <cell r="B612" t="str">
            <v>CTAX - Billing Authority</v>
          </cell>
        </row>
        <row r="613">
          <cell r="A613">
            <v>4732</v>
          </cell>
          <cell r="B613" t="str">
            <v>Local Authority</v>
          </cell>
        </row>
        <row r="614">
          <cell r="A614">
            <v>4733</v>
          </cell>
          <cell r="B614" t="str">
            <v>Government Depts</v>
          </cell>
        </row>
        <row r="615">
          <cell r="A615">
            <v>4734</v>
          </cell>
          <cell r="B615" t="str">
            <v>Housing Benefit</v>
          </cell>
        </row>
        <row r="616">
          <cell r="A616">
            <v>4735</v>
          </cell>
          <cell r="B616" t="str">
            <v>Sundry</v>
          </cell>
        </row>
        <row r="617">
          <cell r="A617">
            <v>4736</v>
          </cell>
          <cell r="B617" t="str">
            <v>Summons Costs</v>
          </cell>
        </row>
        <row r="618">
          <cell r="A618">
            <v>5000</v>
          </cell>
          <cell r="B618" t="str">
            <v>Easements (Capital) Receipts</v>
          </cell>
        </row>
        <row r="619">
          <cell r="A619">
            <v>5010</v>
          </cell>
          <cell r="B619" t="str">
            <v>SoCH (1980 Act) Receipts</v>
          </cell>
        </row>
        <row r="620">
          <cell r="A620">
            <v>5100</v>
          </cell>
          <cell r="B620" t="str">
            <v>Contribution to Council Tax Deficit</v>
          </cell>
        </row>
        <row r="621">
          <cell r="A621">
            <v>5101</v>
          </cell>
          <cell r="B621" t="str">
            <v>Section 106 Contribution Received</v>
          </cell>
        </row>
        <row r="622">
          <cell r="A622">
            <v>5102</v>
          </cell>
          <cell r="B622" t="str">
            <v>DCLG Grant Received</v>
          </cell>
        </row>
        <row r="623">
          <cell r="A623">
            <v>5103</v>
          </cell>
          <cell r="B623" t="str">
            <v>DWP Subsidy Cash Received</v>
          </cell>
        </row>
        <row r="624">
          <cell r="A624">
            <v>5104</v>
          </cell>
          <cell r="B624" t="str">
            <v>Cash Received</v>
          </cell>
        </row>
        <row r="625">
          <cell r="A625">
            <v>5105</v>
          </cell>
          <cell r="B625" t="str">
            <v>Income Received</v>
          </cell>
        </row>
        <row r="626">
          <cell r="A626">
            <v>5106</v>
          </cell>
          <cell r="B626" t="str">
            <v>Other Grants &amp; Contributions Received</v>
          </cell>
        </row>
        <row r="627">
          <cell r="A627">
            <v>5107</v>
          </cell>
          <cell r="B627" t="str">
            <v>Cash Deposit Received</v>
          </cell>
        </row>
        <row r="628">
          <cell r="A628">
            <v>5108</v>
          </cell>
          <cell r="B628" t="str">
            <v>Car Loan Principal Repaid</v>
          </cell>
        </row>
        <row r="629">
          <cell r="A629">
            <v>5109</v>
          </cell>
          <cell r="B629" t="str">
            <v>CT for MOD Properties</v>
          </cell>
        </row>
        <row r="630">
          <cell r="A630">
            <v>5110</v>
          </cell>
          <cell r="B630" t="str">
            <v>External Investment Repaid</v>
          </cell>
        </row>
        <row r="631">
          <cell r="A631">
            <v>5111</v>
          </cell>
          <cell r="B631" t="str">
            <v>VAT On Outputs</v>
          </cell>
        </row>
        <row r="632">
          <cell r="A632">
            <v>5112</v>
          </cell>
          <cell r="B632" t="str">
            <v>Cancellations (Unpaid)</v>
          </cell>
        </row>
        <row r="633">
          <cell r="A633">
            <v>5113</v>
          </cell>
          <cell r="B633" t="str">
            <v>Suspense Cash Items</v>
          </cell>
        </row>
        <row r="634">
          <cell r="A634">
            <v>5114</v>
          </cell>
          <cell r="B634" t="str">
            <v>Cashier's Bankings</v>
          </cell>
        </row>
        <row r="635">
          <cell r="A635">
            <v>5115</v>
          </cell>
          <cell r="B635" t="str">
            <v>Cashiers to Bank Overs Unders</v>
          </cell>
        </row>
        <row r="636">
          <cell r="A636">
            <v>5116</v>
          </cell>
          <cell r="B636" t="str">
            <v>Internet Payments</v>
          </cell>
        </row>
        <row r="637">
          <cell r="A637">
            <v>5117</v>
          </cell>
          <cell r="B637" t="str">
            <v>Clearing Account Transfers</v>
          </cell>
        </row>
        <row r="638">
          <cell r="A638">
            <v>5118</v>
          </cell>
          <cell r="B638" t="str">
            <v>Allpay receipts</v>
          </cell>
        </row>
        <row r="639">
          <cell r="A639">
            <v>5119</v>
          </cell>
          <cell r="B639" t="str">
            <v>Council Tax - P.O.P.S</v>
          </cell>
        </row>
        <row r="640">
          <cell r="A640">
            <v>5120</v>
          </cell>
          <cell r="B640" t="str">
            <v>Contact Centre Payments</v>
          </cell>
        </row>
        <row r="641">
          <cell r="A641">
            <v>5121</v>
          </cell>
          <cell r="B641" t="str">
            <v>Bank Tape Cash Recieved</v>
          </cell>
        </row>
        <row r="642">
          <cell r="A642">
            <v>5122</v>
          </cell>
          <cell r="B642" t="str">
            <v>Cashiers Receipts</v>
          </cell>
        </row>
        <row r="643">
          <cell r="A643">
            <v>5123</v>
          </cell>
          <cell r="B643" t="str">
            <v>External Investment Repaid</v>
          </cell>
        </row>
        <row r="644">
          <cell r="A644">
            <v>5124</v>
          </cell>
          <cell r="B644" t="str">
            <v>Cash Received Direct Debits</v>
          </cell>
        </row>
        <row r="645">
          <cell r="A645">
            <v>5130</v>
          </cell>
          <cell r="B645" t="str">
            <v>Petty Cash - Finance</v>
          </cell>
        </row>
        <row r="646">
          <cell r="A646">
            <v>5131</v>
          </cell>
          <cell r="B646" t="str">
            <v>Petty Cash - Community Services</v>
          </cell>
        </row>
        <row r="647">
          <cell r="A647">
            <v>5132</v>
          </cell>
          <cell r="B647" t="str">
            <v>Petty Cash - Environmental Services</v>
          </cell>
        </row>
        <row r="648">
          <cell r="A648">
            <v>5133</v>
          </cell>
          <cell r="B648" t="str">
            <v>Petty Cash - Environmental Health</v>
          </cell>
        </row>
        <row r="649">
          <cell r="A649">
            <v>5134</v>
          </cell>
          <cell r="B649" t="str">
            <v>Petty Cash - Strategic Housing</v>
          </cell>
        </row>
        <row r="650">
          <cell r="A650">
            <v>5135</v>
          </cell>
          <cell r="B650" t="str">
            <v>S106 deposit received for County Council</v>
          </cell>
        </row>
        <row r="651">
          <cell r="A651">
            <v>5136</v>
          </cell>
          <cell r="B651" t="str">
            <v>S106 Deposit received for Parish Council</v>
          </cell>
        </row>
        <row r="652">
          <cell r="A652">
            <v>5137</v>
          </cell>
          <cell r="B652" t="str">
            <v>S106 Deposit received for Local Authorit</v>
          </cell>
        </row>
        <row r="653">
          <cell r="A653">
            <v>5138</v>
          </cell>
          <cell r="B653" t="str">
            <v>Vat on Outputs - Journals</v>
          </cell>
        </row>
        <row r="654">
          <cell r="A654">
            <v>5200</v>
          </cell>
          <cell r="B654" t="str">
            <v>Provisional Creditors-Net Movement</v>
          </cell>
        </row>
        <row r="655">
          <cell r="A655">
            <v>5201</v>
          </cell>
          <cell r="B655" t="str">
            <v>Creditors Paid (Contra Entry)</v>
          </cell>
        </row>
        <row r="656">
          <cell r="A656">
            <v>5202</v>
          </cell>
          <cell r="B656" t="str">
            <v>Creds.Pd.Non.Chqe.Item(Contra)</v>
          </cell>
        </row>
        <row r="657">
          <cell r="A657">
            <v>5203</v>
          </cell>
          <cell r="B657" t="str">
            <v>Internal Payments</v>
          </cell>
        </row>
        <row r="658">
          <cell r="A658">
            <v>5204</v>
          </cell>
          <cell r="B658" t="str">
            <v>Tax Deducted From Payments Made</v>
          </cell>
        </row>
        <row r="659">
          <cell r="A659">
            <v>5205</v>
          </cell>
          <cell r="B659" t="str">
            <v>Debtor Invoice - Rental</v>
          </cell>
        </row>
        <row r="660">
          <cell r="A660">
            <v>5206</v>
          </cell>
          <cell r="B660" t="str">
            <v>Stores Issues Made</v>
          </cell>
        </row>
        <row r="661">
          <cell r="A661">
            <v>5207</v>
          </cell>
          <cell r="B661" t="str">
            <v>Bad Debt Provision Raised</v>
          </cell>
        </row>
        <row r="662">
          <cell r="A662">
            <v>5208</v>
          </cell>
          <cell r="B662" t="str">
            <v>IAS 19 Pensions (Cr)</v>
          </cell>
        </row>
        <row r="663">
          <cell r="A663">
            <v>5209</v>
          </cell>
          <cell r="B663" t="str">
            <v>Net Salaries Contra Entry</v>
          </cell>
        </row>
        <row r="664">
          <cell r="A664">
            <v>5210</v>
          </cell>
          <cell r="B664" t="str">
            <v>Deducted from Payroll</v>
          </cell>
        </row>
        <row r="665">
          <cell r="A665">
            <v>5211</v>
          </cell>
          <cell r="B665" t="str">
            <v>Capital Receipts (Usable)</v>
          </cell>
        </row>
        <row r="666">
          <cell r="A666">
            <v>5212</v>
          </cell>
          <cell r="B666" t="str">
            <v>Debited to Other Accounts</v>
          </cell>
        </row>
        <row r="667">
          <cell r="A667">
            <v>5213</v>
          </cell>
          <cell r="B667" t="str">
            <v>Grants Debited to Other Accounts</v>
          </cell>
        </row>
        <row r="668">
          <cell r="A668">
            <v>5300</v>
          </cell>
          <cell r="B668" t="str">
            <v>Credit Balance Carried Forward</v>
          </cell>
        </row>
        <row r="669">
          <cell r="A669">
            <v>5301</v>
          </cell>
          <cell r="B669" t="str">
            <v>Debit Balance Carried Forward</v>
          </cell>
        </row>
        <row r="670">
          <cell r="A670">
            <v>9999</v>
          </cell>
          <cell r="B670" t="str">
            <v>Error Suspense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N696"/>
  <sheetViews>
    <sheetView tabSelected="1" topLeftCell="K1" workbookViewId="0">
      <selection activeCell="N1" sqref="L1:N1048576"/>
    </sheetView>
  </sheetViews>
  <sheetFormatPr defaultRowHeight="15"/>
  <cols>
    <col min="1" max="1" width="15.28515625" hidden="1" customWidth="1"/>
    <col min="2" max="2" width="11.7109375" hidden="1" customWidth="1"/>
    <col min="3" max="3" width="9.7109375" hidden="1" customWidth="1"/>
    <col min="4" max="4" width="6.140625" hidden="1" customWidth="1"/>
    <col min="5" max="5" width="23.28515625" hidden="1" customWidth="1"/>
    <col min="6" max="6" width="13.28515625" hidden="1" customWidth="1"/>
    <col min="7" max="7" width="16.85546875" hidden="1" customWidth="1"/>
    <col min="8" max="8" width="13.42578125" hidden="1" customWidth="1"/>
    <col min="9" max="9" width="18.85546875" hidden="1" customWidth="1"/>
    <col min="10" max="10" width="8.28515625" hidden="1" customWidth="1"/>
    <col min="11" max="11" width="17" customWidth="1"/>
    <col min="12" max="12" width="49.140625" bestFit="1" customWidth="1"/>
    <col min="13" max="13" width="18.5703125" hidden="1" customWidth="1"/>
    <col min="14" max="14" width="10.7109375" bestFit="1" customWidth="1"/>
    <col min="15" max="15" width="19.5703125" hidden="1" customWidth="1"/>
    <col min="16" max="16" width="19.5703125" style="25" customWidth="1"/>
    <col min="17" max="17" width="11.5703125" style="26" hidden="1" customWidth="1"/>
    <col min="18" max="18" width="16.85546875" hidden="1" customWidth="1"/>
    <col min="19" max="19" width="16.7109375" hidden="1" customWidth="1"/>
    <col min="20" max="21" width="12.7109375" hidden="1" customWidth="1"/>
    <col min="22" max="22" width="30.42578125" hidden="1" customWidth="1"/>
    <col min="23" max="23" width="32" bestFit="1" customWidth="1"/>
    <col min="24" max="24" width="41.5703125" bestFit="1" customWidth="1"/>
    <col min="25" max="25" width="12.7109375" hidden="1" customWidth="1"/>
    <col min="26" max="26" width="31.140625" bestFit="1" customWidth="1"/>
    <col min="27" max="27" width="31.42578125" bestFit="1" customWidth="1"/>
    <col min="28" max="28" width="13.28515625" hidden="1" customWidth="1"/>
    <col min="29" max="29" width="0" hidden="1" customWidth="1"/>
    <col min="30" max="30" width="21.140625" hidden="1" customWidth="1"/>
    <col min="31" max="31" width="64.5703125" hidden="1" customWidth="1"/>
    <col min="32" max="32" width="0" hidden="1" customWidth="1"/>
    <col min="33" max="33" width="17.5703125" hidden="1" customWidth="1"/>
    <col min="35" max="35" width="32.28515625" hidden="1" customWidth="1"/>
    <col min="36" max="36" width="247.42578125" hidden="1" customWidth="1"/>
    <col min="37" max="37" width="20.85546875" hidden="1" customWidth="1"/>
    <col min="38" max="38" width="13.5703125" hidden="1" customWidth="1"/>
    <col min="39" max="39" width="16.28515625" hidden="1" customWidth="1"/>
    <col min="40" max="40" width="12.85546875" hidden="1" customWidth="1"/>
    <col min="41" max="41" width="18.140625" hidden="1" customWidth="1"/>
  </cols>
  <sheetData>
    <row r="1" spans="1:92" s="1" customFormat="1" ht="25.5">
      <c r="A1" s="1" t="s">
        <v>0</v>
      </c>
      <c r="B1" s="1" t="s">
        <v>1</v>
      </c>
      <c r="C1" s="1" t="s">
        <v>2</v>
      </c>
      <c r="D1" s="1" t="s">
        <v>3</v>
      </c>
      <c r="E1" s="2" t="s">
        <v>4</v>
      </c>
      <c r="F1" s="2" t="s">
        <v>5</v>
      </c>
      <c r="G1" s="2" t="s">
        <v>6</v>
      </c>
      <c r="H1" s="2" t="s">
        <v>7</v>
      </c>
      <c r="I1" s="2" t="s">
        <v>8</v>
      </c>
      <c r="J1" s="2" t="s">
        <v>9</v>
      </c>
      <c r="K1" s="2" t="s">
        <v>10</v>
      </c>
      <c r="L1" s="1" t="s">
        <v>11</v>
      </c>
      <c r="M1" s="3" t="s">
        <v>12</v>
      </c>
      <c r="N1" s="4" t="s">
        <v>13</v>
      </c>
      <c r="O1" s="1" t="s">
        <v>14</v>
      </c>
      <c r="P1" s="5" t="s">
        <v>15</v>
      </c>
      <c r="Q1" s="2" t="s">
        <v>15</v>
      </c>
      <c r="R1" s="1" t="s">
        <v>16</v>
      </c>
      <c r="S1" s="6" t="s">
        <v>17</v>
      </c>
      <c r="T1" s="1" t="s">
        <v>18</v>
      </c>
      <c r="U1" s="1" t="s">
        <v>19</v>
      </c>
      <c r="V1" s="1" t="s">
        <v>20</v>
      </c>
      <c r="W1" s="1" t="s">
        <v>21</v>
      </c>
      <c r="X1" s="1" t="s">
        <v>22</v>
      </c>
      <c r="Z1" s="1" t="s">
        <v>23</v>
      </c>
      <c r="AA1" s="1" t="s">
        <v>24</v>
      </c>
      <c r="AB1" s="1" t="s">
        <v>25</v>
      </c>
      <c r="AD1" s="1" t="s">
        <v>26</v>
      </c>
      <c r="AE1" s="1" t="s">
        <v>27</v>
      </c>
      <c r="AG1" s="1" t="s">
        <v>28</v>
      </c>
      <c r="AI1" s="1" t="s">
        <v>29</v>
      </c>
      <c r="AJ1" s="7" t="s">
        <v>30</v>
      </c>
      <c r="AK1" s="1" t="s">
        <v>31</v>
      </c>
      <c r="AL1" s="1" t="s">
        <v>32</v>
      </c>
      <c r="AM1" s="1" t="s">
        <v>33</v>
      </c>
      <c r="AN1" s="1" t="s">
        <v>34</v>
      </c>
      <c r="AO1" s="1" t="s">
        <v>35</v>
      </c>
      <c r="CN1" s="8"/>
    </row>
    <row r="2" spans="1:92" s="10" customFormat="1">
      <c r="A2" s="9" t="s">
        <v>36</v>
      </c>
      <c r="B2" s="9" t="s">
        <v>37</v>
      </c>
      <c r="C2" s="9" t="s">
        <v>38</v>
      </c>
      <c r="D2" s="10" t="str">
        <f>"27633"</f>
        <v>27633</v>
      </c>
      <c r="E2" s="11" t="str">
        <f>"36142"</f>
        <v>36142</v>
      </c>
      <c r="F2" s="11" t="str">
        <f t="shared" ref="F2:F59" si="0">"372418"</f>
        <v>372418</v>
      </c>
      <c r="G2" s="11" t="str">
        <f t="shared" ref="G2:G59" si="1">"2017toJAN"</f>
        <v>2017toJAN</v>
      </c>
      <c r="H2" s="11" t="str">
        <f t="shared" ref="H2:H59" si="2">"CRSP06B"</f>
        <v>CRSP06B</v>
      </c>
      <c r="I2" s="11" t="str">
        <f t="shared" ref="I2:I59" si="3">"34"</f>
        <v>34</v>
      </c>
      <c r="J2" s="11" t="str">
        <f t="shared" ref="J2:J59" si="4">"Creditor"</f>
        <v>Creditor</v>
      </c>
      <c r="K2" s="11" t="str">
        <f>"CS001021"</f>
        <v>CS001021</v>
      </c>
      <c r="L2" s="10" t="str">
        <f>"24 Hour Fitness"</f>
        <v>24 Hour Fitness</v>
      </c>
      <c r="M2" s="12" t="str">
        <f>"27/01/2017 00:00:00"</f>
        <v>27/01/2017 00:00:00</v>
      </c>
      <c r="N2" s="12">
        <v>42762</v>
      </c>
      <c r="O2" s="10" t="str">
        <f>"C008054"</f>
        <v>C008054</v>
      </c>
      <c r="P2" s="13">
        <v>994.81</v>
      </c>
      <c r="Q2" s="11" t="str">
        <f>"994.8100"</f>
        <v>994.8100</v>
      </c>
      <c r="R2" s="10" t="str">
        <f>"C0004592"</f>
        <v>C0004592</v>
      </c>
      <c r="S2" s="14" t="str">
        <f>"1193.7700"</f>
        <v>1193.7700</v>
      </c>
      <c r="T2" s="10">
        <v>31013</v>
      </c>
      <c r="U2" s="10">
        <v>1720</v>
      </c>
      <c r="V2" s="10" t="str">
        <f>"Private Contractors"</f>
        <v>Private Contractors</v>
      </c>
      <c r="W2" s="10" t="str">
        <f>"Third Party Payments"</f>
        <v>Third Party Payments</v>
      </c>
      <c r="X2" s="10" t="str">
        <f>VLOOKUP(U2,'[1]Account code lookup'!A:B,2,0)</f>
        <v>Contractor Revenue Payments</v>
      </c>
      <c r="Z2" s="10" t="str">
        <f>"Regeneration and Housing"</f>
        <v>Regeneration and Housing</v>
      </c>
      <c r="AA2" s="10" t="str">
        <f>"Commercial Development"</f>
        <v>Commercial Development</v>
      </c>
      <c r="AB2" s="10" t="str">
        <f>"2cdb"</f>
        <v>2cdb</v>
      </c>
      <c r="AD2" s="10" t="str">
        <f>"cdb02"</f>
        <v>cdb02</v>
      </c>
      <c r="AE2" s="10" t="str">
        <f>"Finance &amp; Procurement / Finance"</f>
        <v>Finance &amp; Procurement / Finance</v>
      </c>
      <c r="AG2" s="10" t="str">
        <f>"31013/1720"</f>
        <v>31013/1720</v>
      </c>
      <c r="AI2" s="10" t="str">
        <f>"17tpp"</f>
        <v>17tpp</v>
      </c>
      <c r="AJ2" s="15" t="str">
        <f>"S/C PIONEER SQ_x000D_
_x000D_
1. Remote Monitoring of Service Yard Security_x000D_
Camera 10/08/16 to 09/08/17_x000D_
2. Indemnity Insurance for the Provision of_x000D_
Security Camera Remote Monitoring Services_x000D_
10/08/16 to 09/08/17_x000D_
3. Administration Charge"</f>
        <v>S/C PIONEER SQ_x000D_
_x000D_
1. Remote Monitoring of Service Yard Security_x000D_
Camera 10/08/16 to 09/08/17_x000D_
2. Indemnity Insurance for the Provision of_x000D_
Security Camera Remote Monitoring Services_x000D_
10/08/16 to 09/08/17_x000D_
3. Administration Charge</v>
      </c>
      <c r="AK2" s="10" t="str">
        <f>"Revenue"</f>
        <v>Revenue</v>
      </c>
      <c r="AL2" s="10" t="str">
        <f>""</f>
        <v/>
      </c>
      <c r="AM2" s="10" t="str">
        <f>""</f>
        <v/>
      </c>
      <c r="AN2" s="10" t="str">
        <f>""</f>
        <v/>
      </c>
      <c r="AO2" s="10" t="str">
        <f>""</f>
        <v/>
      </c>
    </row>
    <row r="3" spans="1:92" s="10" customFormat="1">
      <c r="A3" s="9" t="s">
        <v>36</v>
      </c>
      <c r="B3" s="9" t="s">
        <v>37</v>
      </c>
      <c r="C3" s="9" t="s">
        <v>38</v>
      </c>
      <c r="D3" s="10" t="str">
        <f>"27634"</f>
        <v>27634</v>
      </c>
      <c r="E3" s="11" t="str">
        <f>"36142"</f>
        <v>36142</v>
      </c>
      <c r="F3" s="11" t="str">
        <f t="shared" si="0"/>
        <v>372418</v>
      </c>
      <c r="G3" s="11" t="str">
        <f t="shared" si="1"/>
        <v>2017toJAN</v>
      </c>
      <c r="H3" s="11" t="str">
        <f t="shared" si="2"/>
        <v>CRSP06B</v>
      </c>
      <c r="I3" s="11" t="str">
        <f t="shared" si="3"/>
        <v>34</v>
      </c>
      <c r="J3" s="11" t="str">
        <f t="shared" si="4"/>
        <v>Creditor</v>
      </c>
      <c r="K3" s="11" t="str">
        <f>"CS003001"</f>
        <v>CS003001</v>
      </c>
      <c r="L3" s="10" t="str">
        <f>"3rd Century Security"</f>
        <v>3rd Century Security</v>
      </c>
      <c r="M3" s="12" t="str">
        <f>"11/01/2017 00:00:00"</f>
        <v>11/01/2017 00:00:00</v>
      </c>
      <c r="N3" s="12">
        <v>42746</v>
      </c>
      <c r="O3" s="10" t="str">
        <f>"C007700"</f>
        <v>C007700</v>
      </c>
      <c r="P3" s="13">
        <v>2528</v>
      </c>
      <c r="Q3" s="11" t="str">
        <f>"2528.0000"</f>
        <v>2528.0000</v>
      </c>
      <c r="R3" s="10" t="str">
        <f>"C0004384"</f>
        <v>C0004384</v>
      </c>
      <c r="S3" s="14" t="str">
        <f>"3033.6000"</f>
        <v>3033.6000</v>
      </c>
      <c r="T3" s="10">
        <v>28307</v>
      </c>
      <c r="U3" s="10">
        <v>1402</v>
      </c>
      <c r="V3" s="10" t="str">
        <f>"Equipment, furniture and mats"</f>
        <v>Equipment, furniture and mats</v>
      </c>
      <c r="W3" s="10" t="str">
        <f>"Supplies and Services"</f>
        <v>Supplies and Services</v>
      </c>
      <c r="X3" s="10" t="str">
        <f>VLOOKUP(U3,'[1]Account code lookup'!A:B,2,0)</f>
        <v>IT Equipment</v>
      </c>
      <c r="Z3" s="10" t="str">
        <f>"Regeneration and Housing"</f>
        <v>Regeneration and Housing</v>
      </c>
      <c r="AA3" s="10" t="str">
        <f>"Commercial Development"</f>
        <v>Commercial Development</v>
      </c>
      <c r="AB3" s="10" t="str">
        <f>"2cdb"</f>
        <v>2cdb</v>
      </c>
      <c r="AD3" s="10" t="str">
        <f>"cdb02"</f>
        <v>cdb02</v>
      </c>
      <c r="AE3" s="10" t="str">
        <f>"Regeneration &amp; Housing / Delivery Team"</f>
        <v>Regeneration &amp; Housing / Delivery Team</v>
      </c>
      <c r="AG3" s="10" t="str">
        <f>"28307/1402"</f>
        <v>28307/1402</v>
      </c>
      <c r="AI3" s="10" t="str">
        <f>"14suse"</f>
        <v>14suse</v>
      </c>
      <c r="AJ3" s="15" t="str">
        <f>"TOWN CENTRE HOUSE_x000D_
NHB FUNDS_x000D_
CCTV camera installation and software set-up"</f>
        <v>TOWN CENTRE HOUSE_x000D_
NHB FUNDS_x000D_
CCTV camera installation and software set-up</v>
      </c>
      <c r="AK3" s="10" t="str">
        <f>"Revenue"</f>
        <v>Revenue</v>
      </c>
      <c r="AL3" s="10" t="str">
        <f>""</f>
        <v/>
      </c>
      <c r="AM3" s="10" t="str">
        <f>""</f>
        <v/>
      </c>
      <c r="AN3" s="10" t="str">
        <f>""</f>
        <v/>
      </c>
      <c r="AO3" s="10" t="str">
        <f>""</f>
        <v/>
      </c>
    </row>
    <row r="4" spans="1:92" s="10" customFormat="1">
      <c r="A4" s="9" t="s">
        <v>36</v>
      </c>
      <c r="B4" s="9" t="s">
        <v>37</v>
      </c>
      <c r="C4" s="9" t="s">
        <v>38</v>
      </c>
      <c r="D4" s="10" t="str">
        <f>"27635"</f>
        <v>27635</v>
      </c>
      <c r="E4" s="11" t="str">
        <f>"36142"</f>
        <v>36142</v>
      </c>
      <c r="F4" s="11" t="str">
        <f t="shared" si="0"/>
        <v>372418</v>
      </c>
      <c r="G4" s="11" t="str">
        <f t="shared" si="1"/>
        <v>2017toJAN</v>
      </c>
      <c r="H4" s="11" t="str">
        <f t="shared" si="2"/>
        <v>CRSP06B</v>
      </c>
      <c r="I4" s="11" t="str">
        <f t="shared" si="3"/>
        <v>34</v>
      </c>
      <c r="J4" s="11" t="str">
        <f t="shared" si="4"/>
        <v>Creditor</v>
      </c>
      <c r="K4" s="11" t="str">
        <f>"CS001023"</f>
        <v>CS001023</v>
      </c>
      <c r="L4" s="10" t="str">
        <f>"A Brearley"</f>
        <v>A Brearley</v>
      </c>
      <c r="M4" s="12" t="str">
        <f>"18/01/2017 00:00:00"</f>
        <v>18/01/2017 00:00:00</v>
      </c>
      <c r="N4" s="12">
        <v>42753</v>
      </c>
      <c r="O4" s="10" t="str">
        <f>"C007892"</f>
        <v>C007892</v>
      </c>
      <c r="P4" s="13">
        <v>800</v>
      </c>
      <c r="Q4" s="11" t="str">
        <f>"800.0000"</f>
        <v>800.0000</v>
      </c>
      <c r="R4" s="10" t="str">
        <f>"C0004473"</f>
        <v>C0004473</v>
      </c>
      <c r="S4" s="14" t="str">
        <f>"800.0000"</f>
        <v>800.0000</v>
      </c>
      <c r="T4" s="10">
        <v>28402</v>
      </c>
      <c r="U4" s="10">
        <v>1765</v>
      </c>
      <c r="V4" s="10" t="str">
        <f>"Professional Fees"</f>
        <v>Professional Fees</v>
      </c>
      <c r="W4" s="10" t="str">
        <f>"Third Party Payments"</f>
        <v>Third Party Payments</v>
      </c>
      <c r="X4" s="10" t="str">
        <f>VLOOKUP(U4,'[1]Account code lookup'!A:B,2,0)</f>
        <v>Consultants Fees</v>
      </c>
      <c r="Z4" s="10" t="str">
        <f>"Regeneration and Housing"</f>
        <v>Regeneration and Housing</v>
      </c>
      <c r="AA4" s="10" t="str">
        <f>"Commercial Development"</f>
        <v>Commercial Development</v>
      </c>
      <c r="AB4" s="10" t="str">
        <f>"2cdb"</f>
        <v>2cdb</v>
      </c>
      <c r="AD4" s="10" t="str">
        <f>"cdb02"</f>
        <v>cdb02</v>
      </c>
      <c r="AE4" s="10" t="str">
        <f>"Regeneration &amp; Housing / Home Improvement Agency"</f>
        <v>Regeneration &amp; Housing / Home Improvement Agency</v>
      </c>
      <c r="AG4" s="10" t="str">
        <f>"28402/1765"</f>
        <v>28402/1765</v>
      </c>
      <c r="AI4" s="10" t="str">
        <f>"17tpp"</f>
        <v>17tpp</v>
      </c>
      <c r="AJ4" s="15" t="str">
        <f>"Technical Consultants"</f>
        <v>Technical Consultants</v>
      </c>
      <c r="AK4" s="10" t="str">
        <f>"Revenue"</f>
        <v>Revenue</v>
      </c>
      <c r="AL4" s="10" t="str">
        <f>""</f>
        <v/>
      </c>
      <c r="AM4" s="10" t="str">
        <f>""</f>
        <v/>
      </c>
      <c r="AN4" s="10" t="str">
        <f>""</f>
        <v/>
      </c>
      <c r="AO4" s="10" t="str">
        <f>""</f>
        <v/>
      </c>
    </row>
    <row r="5" spans="1:92" s="10" customFormat="1">
      <c r="A5" s="9" t="s">
        <v>36</v>
      </c>
      <c r="B5" s="9" t="s">
        <v>37</v>
      </c>
      <c r="C5" s="9" t="s">
        <v>38</v>
      </c>
      <c r="D5" s="10" t="str">
        <f>"27636"</f>
        <v>27636</v>
      </c>
      <c r="E5" s="11" t="str">
        <f>"36142"</f>
        <v>36142</v>
      </c>
      <c r="F5" s="11" t="str">
        <f t="shared" si="0"/>
        <v>372418</v>
      </c>
      <c r="G5" s="11" t="str">
        <f t="shared" si="1"/>
        <v>2017toJAN</v>
      </c>
      <c r="H5" s="11" t="str">
        <f t="shared" si="2"/>
        <v>CRSP06B</v>
      </c>
      <c r="I5" s="11" t="str">
        <f t="shared" si="3"/>
        <v>34</v>
      </c>
      <c r="J5" s="11" t="str">
        <f t="shared" si="4"/>
        <v>Creditor</v>
      </c>
      <c r="K5" s="11" t="str">
        <f>"CS002335"</f>
        <v>CS002335</v>
      </c>
      <c r="L5" s="10" t="str">
        <f>"A R Walker "</f>
        <v xml:space="preserve">A R Walker </v>
      </c>
      <c r="M5" s="12" t="str">
        <f>"04/01/2017 00:00:00"</f>
        <v>04/01/2017 00:00:00</v>
      </c>
      <c r="N5" s="12">
        <v>42739</v>
      </c>
      <c r="O5" s="10" t="str">
        <f>"C007577"</f>
        <v>C007577</v>
      </c>
      <c r="P5" s="13">
        <v>420</v>
      </c>
      <c r="Q5" s="11" t="str">
        <f>"420.0000"</f>
        <v>420.0000</v>
      </c>
      <c r="R5" s="10" t="str">
        <f>"C0004275"</f>
        <v>C0004275</v>
      </c>
      <c r="S5" s="14" t="str">
        <f>"1484.4000"</f>
        <v>1484.4000</v>
      </c>
      <c r="T5" s="10">
        <v>40108</v>
      </c>
      <c r="U5" s="10">
        <v>4100</v>
      </c>
      <c r="V5" s="10" t="str">
        <f t="shared" ref="V5:W10" si="5">"Capital Works"</f>
        <v>Capital Works</v>
      </c>
      <c r="W5" s="10" t="str">
        <f t="shared" si="5"/>
        <v>Capital Works</v>
      </c>
      <c r="X5" s="10" t="str">
        <f>VLOOKUP(U5,'[1]Account code lookup'!A:B,2,0)</f>
        <v>Contractors Capital Payments</v>
      </c>
      <c r="Z5" s="10" t="str">
        <f t="shared" ref="Z5:Z10" si="6">"Capital Regen and Housing"</f>
        <v>Capital Regen and Housing</v>
      </c>
      <c r="AA5" s="10" t="str">
        <f t="shared" ref="AA5:AA10" si="7">"Commercial Development Capital"</f>
        <v>Commercial Development Capital</v>
      </c>
      <c r="AB5" s="10" t="str">
        <f t="shared" ref="AB5:AB10" si="8">"c2cdb"</f>
        <v>c2cdb</v>
      </c>
      <c r="AD5" s="10" t="str">
        <f t="shared" ref="AD5:AD10" si="9">"ccdb02"</f>
        <v>ccdb02</v>
      </c>
      <c r="AE5" s="10" t="str">
        <f>"Regeneration &amp; Housing / Delivery Team"</f>
        <v>Regeneration &amp; Housing / Delivery Team</v>
      </c>
      <c r="AG5" s="10" t="str">
        <f>"40108/4100"</f>
        <v>40108/4100</v>
      </c>
      <c r="AI5" s="10" t="str">
        <f t="shared" ref="AI5:AI10" si="10">"41cwrk"</f>
        <v>41cwrk</v>
      </c>
      <c r="AJ5" s="15" t="str">
        <f>"Fencing @ Banbury Ambulance Station (7/9)"</f>
        <v>Fencing @ Banbury Ambulance Station (7/9)</v>
      </c>
      <c r="AK5" s="10" t="str">
        <f t="shared" ref="AK5:AK10" si="11">"Capital"</f>
        <v>Capital</v>
      </c>
      <c r="AL5" s="10" t="str">
        <f>""</f>
        <v/>
      </c>
      <c r="AM5" s="10" t="str">
        <f>""</f>
        <v/>
      </c>
      <c r="AN5" s="10" t="str">
        <f>""</f>
        <v/>
      </c>
      <c r="AO5" s="10" t="str">
        <f>""</f>
        <v/>
      </c>
    </row>
    <row r="6" spans="1:92" s="10" customFormat="1">
      <c r="A6" s="9"/>
      <c r="B6" s="9"/>
      <c r="C6" s="9"/>
      <c r="D6" s="10" t="str">
        <f>"28192"</f>
        <v>28192</v>
      </c>
      <c r="E6" s="11" t="str">
        <f>""</f>
        <v/>
      </c>
      <c r="F6" s="11" t="str">
        <f t="shared" si="0"/>
        <v>372418</v>
      </c>
      <c r="G6" s="11" t="str">
        <f t="shared" si="1"/>
        <v>2017toJAN</v>
      </c>
      <c r="H6" s="11" t="str">
        <f t="shared" si="2"/>
        <v>CRSP06B</v>
      </c>
      <c r="I6" s="11" t="str">
        <f t="shared" si="3"/>
        <v>34</v>
      </c>
      <c r="J6" s="11" t="str">
        <f t="shared" si="4"/>
        <v>Creditor</v>
      </c>
      <c r="K6" s="11" t="str">
        <f>"CS002335"</f>
        <v>CS002335</v>
      </c>
      <c r="L6" s="10" t="str">
        <f>"A R Walker "</f>
        <v xml:space="preserve">A R Walker </v>
      </c>
      <c r="M6" s="12" t="str">
        <f>"04/01/2017 00:00:00"</f>
        <v>04/01/2017 00:00:00</v>
      </c>
      <c r="N6" s="12">
        <v>42739</v>
      </c>
      <c r="O6" s="10" t="str">
        <f>"C007577"</f>
        <v>C007577</v>
      </c>
      <c r="P6" s="13">
        <v>627</v>
      </c>
      <c r="Q6" s="11" t="str">
        <f>"627.0000"</f>
        <v>627.0000</v>
      </c>
      <c r="R6" s="10" t="str">
        <f>"C0004275"</f>
        <v>C0004275</v>
      </c>
      <c r="S6" s="14" t="str">
        <f>"1484.4000"</f>
        <v>1484.4000</v>
      </c>
      <c r="T6" s="10">
        <v>40111</v>
      </c>
      <c r="U6" s="10">
        <v>4100</v>
      </c>
      <c r="V6" s="10" t="str">
        <f t="shared" si="5"/>
        <v>Capital Works</v>
      </c>
      <c r="W6" s="10" t="str">
        <f t="shared" si="5"/>
        <v>Capital Works</v>
      </c>
      <c r="X6" s="10" t="str">
        <f>VLOOKUP(U6,'[1]Account code lookup'!A:B,2,0)</f>
        <v>Contractors Capital Payments</v>
      </c>
      <c r="Z6" s="10" t="str">
        <f t="shared" si="6"/>
        <v>Capital Regen and Housing</v>
      </c>
      <c r="AA6" s="10" t="str">
        <f t="shared" si="7"/>
        <v>Commercial Development Capital</v>
      </c>
      <c r="AB6" s="10" t="str">
        <f t="shared" si="8"/>
        <v>c2cdb</v>
      </c>
      <c r="AD6" s="10" t="str">
        <f t="shared" si="9"/>
        <v>ccdb02</v>
      </c>
      <c r="AE6" s="10" t="str">
        <f>"Regeneration &amp; Housing / Delivery Team"</f>
        <v>Regeneration &amp; Housing / Delivery Team</v>
      </c>
      <c r="AG6" s="10" t="str">
        <f>"40111/4100"</f>
        <v>40111/4100</v>
      </c>
      <c r="AI6" s="10" t="str">
        <f t="shared" si="10"/>
        <v>41cwrk</v>
      </c>
      <c r="AJ6" s="15" t="str">
        <f>"Clearance work (9/11) @ £130_x000D_
Fencing (28/10) @ £50_x000D_
Boarding (19/10) @ £50_x000D_
Boarding and various repairs (14/10) @ £397"</f>
        <v>Clearance work (9/11) @ £130_x000D_
Fencing (28/10) @ £50_x000D_
Boarding (19/10) @ £50_x000D_
Boarding and various repairs (14/10) @ £397</v>
      </c>
      <c r="AK6" s="10" t="str">
        <f t="shared" si="11"/>
        <v>Capital</v>
      </c>
      <c r="AL6" s="10" t="str">
        <f>""</f>
        <v/>
      </c>
      <c r="AM6" s="10" t="str">
        <f>""</f>
        <v/>
      </c>
      <c r="AN6" s="10" t="str">
        <f>""</f>
        <v/>
      </c>
      <c r="AO6" s="10" t="str">
        <f>""</f>
        <v/>
      </c>
    </row>
    <row r="7" spans="1:92" s="10" customFormat="1">
      <c r="A7" s="9"/>
      <c r="B7" s="9"/>
      <c r="C7" s="9"/>
      <c r="D7" s="10" t="str">
        <f>"28193"</f>
        <v>28193</v>
      </c>
      <c r="E7" s="11" t="str">
        <f>""</f>
        <v/>
      </c>
      <c r="F7" s="11" t="str">
        <f t="shared" si="0"/>
        <v>372418</v>
      </c>
      <c r="G7" s="11" t="str">
        <f t="shared" si="1"/>
        <v>2017toJAN</v>
      </c>
      <c r="H7" s="11" t="str">
        <f t="shared" si="2"/>
        <v>CRSP06B</v>
      </c>
      <c r="I7" s="11" t="str">
        <f t="shared" si="3"/>
        <v>34</v>
      </c>
      <c r="J7" s="11" t="str">
        <f t="shared" si="4"/>
        <v>Creditor</v>
      </c>
      <c r="K7" s="11" t="str">
        <f>"CS002335"</f>
        <v>CS002335</v>
      </c>
      <c r="L7" s="10" t="str">
        <f>"A R Walker "</f>
        <v xml:space="preserve">A R Walker </v>
      </c>
      <c r="M7" s="12" t="str">
        <f>"04/01/2017 00:00:00"</f>
        <v>04/01/2017 00:00:00</v>
      </c>
      <c r="N7" s="12">
        <v>42739</v>
      </c>
      <c r="O7" s="10" t="str">
        <f>"C007574"</f>
        <v>C007574</v>
      </c>
      <c r="P7" s="13">
        <v>140</v>
      </c>
      <c r="Q7" s="11" t="str">
        <f>"140.0000"</f>
        <v>140.0000</v>
      </c>
      <c r="R7" s="10" t="str">
        <f>"C0004275"</f>
        <v>C0004275</v>
      </c>
      <c r="S7" s="14" t="str">
        <f>"1484.4000"</f>
        <v>1484.4000</v>
      </c>
      <c r="T7" s="10">
        <v>40111</v>
      </c>
      <c r="U7" s="10">
        <v>4100</v>
      </c>
      <c r="V7" s="10" t="str">
        <f t="shared" si="5"/>
        <v>Capital Works</v>
      </c>
      <c r="W7" s="10" t="str">
        <f t="shared" si="5"/>
        <v>Capital Works</v>
      </c>
      <c r="X7" s="10" t="str">
        <f>VLOOKUP(U7,'[1]Account code lookup'!A:B,2,0)</f>
        <v>Contractors Capital Payments</v>
      </c>
      <c r="Z7" s="10" t="str">
        <f t="shared" si="6"/>
        <v>Capital Regen and Housing</v>
      </c>
      <c r="AA7" s="10" t="str">
        <f t="shared" si="7"/>
        <v>Commercial Development Capital</v>
      </c>
      <c r="AB7" s="10" t="str">
        <f t="shared" si="8"/>
        <v>c2cdb</v>
      </c>
      <c r="AD7" s="10" t="str">
        <f t="shared" si="9"/>
        <v>ccdb02</v>
      </c>
      <c r="AE7" s="10" t="str">
        <f>"Regeneration &amp; Housing / Delivery Team"</f>
        <v>Regeneration &amp; Housing / Delivery Team</v>
      </c>
      <c r="AG7" s="10" t="str">
        <f>"40111/4100"</f>
        <v>40111/4100</v>
      </c>
      <c r="AI7" s="10" t="str">
        <f t="shared" si="10"/>
        <v>41cwrk</v>
      </c>
      <c r="AJ7" s="15" t="str">
        <f>"emergency call out on 21st Nov to secure front doors at Admiral Holland by rebuilding left hand door, cross boarding and fitting two sheets of ply.Additionally to return on 22nd to mend and refit Herras fencing , and over board bottom section of front doo"</f>
        <v>emergency call out on 21st Nov to secure front doors at Admiral Holland by rebuilding left hand door, cross boarding and fitting two sheets of ply.Additionally to return on 22nd to mend and refit Herras fencing , and over board bottom section of front doo</v>
      </c>
      <c r="AK7" s="10" t="str">
        <f t="shared" si="11"/>
        <v>Capital</v>
      </c>
      <c r="AL7" s="10" t="str">
        <f>""</f>
        <v/>
      </c>
      <c r="AM7" s="10" t="str">
        <f>""</f>
        <v/>
      </c>
      <c r="AN7" s="10" t="str">
        <f>""</f>
        <v/>
      </c>
      <c r="AO7" s="10" t="str">
        <f>""</f>
        <v/>
      </c>
    </row>
    <row r="8" spans="1:92" s="10" customFormat="1">
      <c r="A8" s="9"/>
      <c r="B8" s="9"/>
      <c r="C8" s="9"/>
      <c r="D8" s="10" t="str">
        <f>"28899"</f>
        <v>28899</v>
      </c>
      <c r="E8" s="11" t="str">
        <f>""</f>
        <v/>
      </c>
      <c r="F8" s="11" t="str">
        <f t="shared" si="0"/>
        <v>372418</v>
      </c>
      <c r="G8" s="11" t="str">
        <f t="shared" si="1"/>
        <v>2017toJAN</v>
      </c>
      <c r="H8" s="11" t="str">
        <f t="shared" si="2"/>
        <v>CRSP06B</v>
      </c>
      <c r="I8" s="11" t="str">
        <f t="shared" si="3"/>
        <v>34</v>
      </c>
      <c r="J8" s="11" t="str">
        <f t="shared" si="4"/>
        <v>Creditor</v>
      </c>
      <c r="K8" s="11" t="str">
        <f>"CS002335"</f>
        <v>CS002335</v>
      </c>
      <c r="L8" s="10" t="str">
        <f>"A R Walker "</f>
        <v xml:space="preserve">A R Walker </v>
      </c>
      <c r="M8" s="12" t="str">
        <f>"04/01/2017 00:00:00"</f>
        <v>04/01/2017 00:00:00</v>
      </c>
      <c r="N8" s="12">
        <v>42739</v>
      </c>
      <c r="O8" s="10" t="str">
        <f>"C007578"</f>
        <v>C007578</v>
      </c>
      <c r="P8" s="13">
        <v>50</v>
      </c>
      <c r="Q8" s="11" t="str">
        <f>"50.0000"</f>
        <v>50.0000</v>
      </c>
      <c r="R8" s="10" t="str">
        <f>"C0004275"</f>
        <v>C0004275</v>
      </c>
      <c r="S8" s="14" t="str">
        <f>"1484.4000"</f>
        <v>1484.4000</v>
      </c>
      <c r="T8" s="10">
        <v>40111</v>
      </c>
      <c r="U8" s="10">
        <v>4100</v>
      </c>
      <c r="V8" s="10" t="str">
        <f t="shared" si="5"/>
        <v>Capital Works</v>
      </c>
      <c r="W8" s="10" t="str">
        <f t="shared" si="5"/>
        <v>Capital Works</v>
      </c>
      <c r="X8" s="10" t="str">
        <f>VLOOKUP(U8,'[1]Account code lookup'!A:B,2,0)</f>
        <v>Contractors Capital Payments</v>
      </c>
      <c r="Z8" s="10" t="str">
        <f t="shared" si="6"/>
        <v>Capital Regen and Housing</v>
      </c>
      <c r="AA8" s="10" t="str">
        <f t="shared" si="7"/>
        <v>Commercial Development Capital</v>
      </c>
      <c r="AB8" s="10" t="str">
        <f t="shared" si="8"/>
        <v>c2cdb</v>
      </c>
      <c r="AD8" s="10" t="str">
        <f t="shared" si="9"/>
        <v>ccdb02</v>
      </c>
      <c r="AE8" s="10" t="str">
        <f>"Regeneration &amp; Housing / Delivery Team"</f>
        <v>Regeneration &amp; Housing / Delivery Team</v>
      </c>
      <c r="AG8" s="10" t="str">
        <f>"40111/4100"</f>
        <v>40111/4100</v>
      </c>
      <c r="AI8" s="10" t="str">
        <f t="shared" si="10"/>
        <v>41cwrk</v>
      </c>
      <c r="AJ8" s="15" t="str">
        <f>"Quote :- re-secured Admiral Holland £50 + vat_x000D_
Boarding at the Admiral Holland pub"</f>
        <v>Quote :- re-secured Admiral Holland £50 + vat_x000D_
Boarding at the Admiral Holland pub</v>
      </c>
      <c r="AK8" s="10" t="str">
        <f t="shared" si="11"/>
        <v>Capital</v>
      </c>
      <c r="AL8" s="10" t="str">
        <f>""</f>
        <v/>
      </c>
      <c r="AM8" s="10" t="str">
        <f>""</f>
        <v/>
      </c>
      <c r="AN8" s="10" t="str">
        <f>""</f>
        <v/>
      </c>
      <c r="AO8" s="10" t="str">
        <f>""</f>
        <v/>
      </c>
    </row>
    <row r="9" spans="1:92" s="10" customFormat="1">
      <c r="A9" s="9"/>
      <c r="B9" s="9"/>
      <c r="C9" s="9"/>
      <c r="D9" s="10" t="str">
        <f>"28900"</f>
        <v>28900</v>
      </c>
      <c r="E9" s="11" t="str">
        <f>""</f>
        <v/>
      </c>
      <c r="F9" s="11" t="str">
        <f t="shared" si="0"/>
        <v>372418</v>
      </c>
      <c r="G9" s="11" t="str">
        <f t="shared" si="1"/>
        <v>2017toJAN</v>
      </c>
      <c r="H9" s="11" t="str">
        <f t="shared" si="2"/>
        <v>CRSP06B</v>
      </c>
      <c r="I9" s="11" t="str">
        <f t="shared" si="3"/>
        <v>34</v>
      </c>
      <c r="J9" s="11" t="str">
        <f t="shared" si="4"/>
        <v>Creditor</v>
      </c>
      <c r="K9" s="11" t="str">
        <f>"CS002335"</f>
        <v>CS002335</v>
      </c>
      <c r="L9" s="10" t="str">
        <f>"A R Walker "</f>
        <v xml:space="preserve">A R Walker </v>
      </c>
      <c r="M9" s="12" t="str">
        <f>"09/01/2017 00:00:00"</f>
        <v>09/01/2017 00:00:00</v>
      </c>
      <c r="N9" s="12">
        <v>42744</v>
      </c>
      <c r="O9" s="10" t="str">
        <f>"C007737"</f>
        <v>C007737</v>
      </c>
      <c r="P9" s="13">
        <v>2440</v>
      </c>
      <c r="Q9" s="11" t="str">
        <f>"2440.0000"</f>
        <v>2440.0000</v>
      </c>
      <c r="R9" s="10" t="str">
        <f>"C0004340"</f>
        <v>C0004340</v>
      </c>
      <c r="S9" s="14" t="str">
        <f>"2928.0000"</f>
        <v>2928.0000</v>
      </c>
      <c r="T9" s="10">
        <v>40115</v>
      </c>
      <c r="U9" s="10">
        <v>4100</v>
      </c>
      <c r="V9" s="10" t="str">
        <f t="shared" si="5"/>
        <v>Capital Works</v>
      </c>
      <c r="W9" s="10" t="str">
        <f t="shared" si="5"/>
        <v>Capital Works</v>
      </c>
      <c r="X9" s="10" t="str">
        <f>VLOOKUP(U9,'[1]Account code lookup'!A:B,2,0)</f>
        <v>Contractors Capital Payments</v>
      </c>
      <c r="Z9" s="10" t="str">
        <f t="shared" si="6"/>
        <v>Capital Regen and Housing</v>
      </c>
      <c r="AA9" s="10" t="str">
        <f t="shared" si="7"/>
        <v>Commercial Development Capital</v>
      </c>
      <c r="AB9" s="10" t="str">
        <f t="shared" si="8"/>
        <v>c2cdb</v>
      </c>
      <c r="AD9" s="10" t="str">
        <f t="shared" si="9"/>
        <v>ccdb02</v>
      </c>
      <c r="AE9" s="10" t="str">
        <f>"Regeneration &amp; Housing / Delivery Team"</f>
        <v>Regeneration &amp; Housing / Delivery Team</v>
      </c>
      <c r="AG9" s="10" t="str">
        <f>"40115/4100"</f>
        <v>40115/4100</v>
      </c>
      <c r="AI9" s="10" t="str">
        <f t="shared" si="10"/>
        <v>41cwrk</v>
      </c>
      <c r="AJ9" s="15" t="str">
        <f>"4 x gates @ £680.00 each =      £2,720.00_x000D_
10 x weepholes @ £40.00 each = £400.00_x000D_
                                             TOTAL:£3,120.00"</f>
        <v>4 x gates @ £680.00 each =      £2,720.00_x000D_
10 x weepholes @ £40.00 each = £400.00_x000D_
                                             TOTAL:£3,120.00</v>
      </c>
      <c r="AK9" s="10" t="str">
        <f t="shared" si="11"/>
        <v>Capital</v>
      </c>
      <c r="AL9" s="10" t="str">
        <f>""</f>
        <v/>
      </c>
      <c r="AM9" s="10" t="str">
        <f>""</f>
        <v/>
      </c>
      <c r="AN9" s="10" t="str">
        <f>""</f>
        <v/>
      </c>
      <c r="AO9" s="10" t="str">
        <f>""</f>
        <v/>
      </c>
    </row>
    <row r="10" spans="1:92" s="10" customFormat="1">
      <c r="A10" s="9"/>
      <c r="B10" s="9"/>
      <c r="C10" s="9"/>
      <c r="D10" s="10" t="str">
        <f>"29437"</f>
        <v>29437</v>
      </c>
      <c r="E10" s="11" t="str">
        <f>""</f>
        <v/>
      </c>
      <c r="F10" s="11" t="str">
        <f t="shared" si="0"/>
        <v>372418</v>
      </c>
      <c r="G10" s="11" t="str">
        <f t="shared" si="1"/>
        <v>2017toJAN</v>
      </c>
      <c r="H10" s="11" t="str">
        <f t="shared" si="2"/>
        <v>CRSP06B</v>
      </c>
      <c r="I10" s="11" t="str">
        <f t="shared" si="3"/>
        <v>34</v>
      </c>
      <c r="J10" s="11" t="str">
        <f t="shared" si="4"/>
        <v>Creditor</v>
      </c>
      <c r="K10" s="11" t="str">
        <f>"CS003025"</f>
        <v>CS003025</v>
      </c>
      <c r="L10" s="10" t="str">
        <f>"A Satterly "</f>
        <v xml:space="preserve">A Satterly </v>
      </c>
      <c r="M10" s="12" t="str">
        <f>"20/01/2017 00:00:00"</f>
        <v>20/01/2017 00:00:00</v>
      </c>
      <c r="N10" s="12">
        <v>42755</v>
      </c>
      <c r="O10" s="10" t="str">
        <f>"C007970"</f>
        <v>C007970</v>
      </c>
      <c r="P10" s="13">
        <v>5000</v>
      </c>
      <c r="Q10" s="11" t="str">
        <f>"5000.0000"</f>
        <v>5000.0000</v>
      </c>
      <c r="R10" s="10" t="str">
        <f>"C0004517"</f>
        <v>C0004517</v>
      </c>
      <c r="S10" s="14" t="str">
        <f>"5000.0000"</f>
        <v>5000.0000</v>
      </c>
      <c r="T10" s="10">
        <v>40084</v>
      </c>
      <c r="U10" s="10">
        <v>4100</v>
      </c>
      <c r="V10" s="10" t="str">
        <f t="shared" si="5"/>
        <v>Capital Works</v>
      </c>
      <c r="W10" s="10" t="str">
        <f t="shared" si="5"/>
        <v>Capital Works</v>
      </c>
      <c r="X10" s="10" t="str">
        <f>VLOOKUP(U10,'[1]Account code lookup'!A:B,2,0)</f>
        <v>Contractors Capital Payments</v>
      </c>
      <c r="Z10" s="10" t="str">
        <f t="shared" si="6"/>
        <v>Capital Regen and Housing</v>
      </c>
      <c r="AA10" s="10" t="str">
        <f t="shared" si="7"/>
        <v>Commercial Development Capital</v>
      </c>
      <c r="AB10" s="10" t="str">
        <f t="shared" si="8"/>
        <v>c2cdb</v>
      </c>
      <c r="AD10" s="10" t="str">
        <f t="shared" si="9"/>
        <v>ccdb02</v>
      </c>
      <c r="AE10" s="10" t="str">
        <f>"Regeneration &amp; Housing / Home Improvement Agency"</f>
        <v>Regeneration &amp; Housing / Home Improvement Agency</v>
      </c>
      <c r="AG10" s="10" t="str">
        <f>"40084/4100"</f>
        <v>40084/4100</v>
      </c>
      <c r="AI10" s="10" t="str">
        <f t="shared" si="10"/>
        <v>41cwrk</v>
      </c>
      <c r="AJ10" s="15" t="str">
        <f>""</f>
        <v/>
      </c>
      <c r="AK10" s="10" t="str">
        <f t="shared" si="11"/>
        <v>Capital</v>
      </c>
      <c r="AL10" s="10" t="str">
        <f>""</f>
        <v/>
      </c>
      <c r="AM10" s="10" t="str">
        <f>""</f>
        <v/>
      </c>
      <c r="AN10" s="10" t="str">
        <f>""</f>
        <v/>
      </c>
      <c r="AO10" s="10" t="str">
        <f>""</f>
        <v/>
      </c>
    </row>
    <row r="11" spans="1:92" s="10" customFormat="1">
      <c r="A11" s="9"/>
      <c r="B11" s="9"/>
      <c r="C11" s="9"/>
      <c r="D11" s="10" t="str">
        <f>"30079"</f>
        <v>30079</v>
      </c>
      <c r="E11" s="11" t="str">
        <f>""</f>
        <v/>
      </c>
      <c r="F11" s="11" t="str">
        <f t="shared" si="0"/>
        <v>372418</v>
      </c>
      <c r="G11" s="11" t="str">
        <f t="shared" si="1"/>
        <v>2017toJAN</v>
      </c>
      <c r="H11" s="11" t="str">
        <f t="shared" si="2"/>
        <v>CRSP06B</v>
      </c>
      <c r="I11" s="11" t="str">
        <f t="shared" si="3"/>
        <v>34</v>
      </c>
      <c r="J11" s="11" t="str">
        <f t="shared" si="4"/>
        <v>Creditor</v>
      </c>
      <c r="K11" s="11" t="str">
        <f>"CS001044"</f>
        <v>CS001044</v>
      </c>
      <c r="L11" s="10" t="str">
        <f>"Adept Telecom"</f>
        <v>Adept Telecom</v>
      </c>
      <c r="M11" s="12" t="str">
        <f>"09/01/2017 00:00:00"</f>
        <v>09/01/2017 00:00:00</v>
      </c>
      <c r="N11" s="12">
        <v>42744</v>
      </c>
      <c r="O11" s="10" t="str">
        <f>"C007194"</f>
        <v>C007194</v>
      </c>
      <c r="P11" s="13">
        <v>10753.45</v>
      </c>
      <c r="Q11" s="11" t="str">
        <f>"10753.4500"</f>
        <v>10753.4500</v>
      </c>
      <c r="R11" s="10" t="str">
        <f>"C0004329"</f>
        <v>C0004329</v>
      </c>
      <c r="S11" s="14" t="str">
        <f>"12904.1400"</f>
        <v>12904.1400</v>
      </c>
      <c r="T11" s="10">
        <v>21733</v>
      </c>
      <c r="U11" s="10">
        <v>1511</v>
      </c>
      <c r="V11" s="10" t="str">
        <f>"Communications and computing"</f>
        <v>Communications and computing</v>
      </c>
      <c r="W11" s="10" t="str">
        <f>"Supplies and Services"</f>
        <v>Supplies and Services</v>
      </c>
      <c r="X11" s="10" t="str">
        <f>VLOOKUP(U11,'[1]Account code lookup'!A:B,2,0)</f>
        <v>Telephone Rentals &amp; Calls Exps</v>
      </c>
      <c r="Z11" s="10" t="str">
        <f>"Information Services"</f>
        <v>Information Services</v>
      </c>
      <c r="AA11" s="10" t="str">
        <f>"Commercial Development"</f>
        <v>Commercial Development</v>
      </c>
      <c r="AB11" s="10" t="str">
        <f>"2cdb"</f>
        <v>2cdb</v>
      </c>
      <c r="AD11" s="10" t="str">
        <f>"cdb04"</f>
        <v>cdb04</v>
      </c>
      <c r="AE11" s="10" t="str">
        <f>"ICT / Information Services"</f>
        <v>ICT / Information Services</v>
      </c>
      <c r="AG11" s="10" t="str">
        <f>"21733/1511"</f>
        <v>21733/1511</v>
      </c>
      <c r="AI11" s="10" t="str">
        <f>"14suse"</f>
        <v>14suse</v>
      </c>
      <c r="AJ11" s="15" t="str">
        <f>""</f>
        <v/>
      </c>
      <c r="AK11" s="10" t="str">
        <f>"Revenue"</f>
        <v>Revenue</v>
      </c>
      <c r="AL11" s="10" t="str">
        <f>""</f>
        <v/>
      </c>
      <c r="AM11" s="10" t="str">
        <f>""</f>
        <v/>
      </c>
      <c r="AN11" s="10" t="str">
        <f>""</f>
        <v/>
      </c>
      <c r="AO11" s="10" t="str">
        <f>""</f>
        <v/>
      </c>
    </row>
    <row r="12" spans="1:92" s="10" customFormat="1">
      <c r="A12" s="9"/>
      <c r="B12" s="9"/>
      <c r="C12" s="9"/>
      <c r="D12" s="10" t="str">
        <f>"30080"</f>
        <v>30080</v>
      </c>
      <c r="E12" s="11" t="str">
        <f>""</f>
        <v/>
      </c>
      <c r="F12" s="11" t="str">
        <f t="shared" si="0"/>
        <v>372418</v>
      </c>
      <c r="G12" s="11" t="str">
        <f t="shared" si="1"/>
        <v>2017toJAN</v>
      </c>
      <c r="H12" s="11" t="str">
        <f t="shared" si="2"/>
        <v>CRSP06B</v>
      </c>
      <c r="I12" s="11" t="str">
        <f t="shared" si="3"/>
        <v>34</v>
      </c>
      <c r="J12" s="11" t="str">
        <f t="shared" si="4"/>
        <v>Creditor</v>
      </c>
      <c r="K12" s="11" t="str">
        <f>"CS002388"</f>
        <v>CS002388</v>
      </c>
      <c r="L12" s="10" t="str">
        <f>"AECOM Infrastructure and Environment UK Ltd"</f>
        <v>AECOM Infrastructure and Environment UK Ltd</v>
      </c>
      <c r="M12" s="12" t="str">
        <f>"25/01/2017 00:00:00"</f>
        <v>25/01/2017 00:00:00</v>
      </c>
      <c r="N12" s="12">
        <v>42760</v>
      </c>
      <c r="O12" s="10" t="str">
        <f>"C008120"</f>
        <v>C008120</v>
      </c>
      <c r="P12" s="13">
        <v>4193</v>
      </c>
      <c r="Q12" s="11" t="str">
        <f>"4193.0000"</f>
        <v>4193.0000</v>
      </c>
      <c r="R12" s="10" t="str">
        <f>"C0004568"</f>
        <v>C0004568</v>
      </c>
      <c r="S12" s="14" t="str">
        <f>"5031.6000"</f>
        <v>5031.6000</v>
      </c>
      <c r="T12" s="10">
        <v>29210</v>
      </c>
      <c r="U12" s="10">
        <v>1765</v>
      </c>
      <c r="V12" s="10" t="str">
        <f>"Professional Fees"</f>
        <v>Professional Fees</v>
      </c>
      <c r="W12" s="10" t="str">
        <f>"Third Party Payments"</f>
        <v>Third Party Payments</v>
      </c>
      <c r="X12" s="10" t="str">
        <f>VLOOKUP(U12,'[1]Account code lookup'!A:B,2,0)</f>
        <v>Consultants Fees</v>
      </c>
      <c r="Z12" s="10" t="str">
        <f>"Strategic Planning Economy"</f>
        <v>Strategic Planning Economy</v>
      </c>
      <c r="AA12" s="10" t="str">
        <f>"Strategy and Commissioning"</f>
        <v>Strategy and Commissioning</v>
      </c>
      <c r="AB12" s="10" t="str">
        <f>"4sac"</f>
        <v>4sac</v>
      </c>
      <c r="AD12" s="10" t="str">
        <f>"sac01"</f>
        <v>sac01</v>
      </c>
      <c r="AE12" s="10" t="str">
        <f>"Finance &amp; Procurement / Head of Finance &amp; Procurement"</f>
        <v>Finance &amp; Procurement / Head of Finance &amp; Procurement</v>
      </c>
      <c r="AG12" s="10" t="str">
        <f>"29210/1765"</f>
        <v>29210/1765</v>
      </c>
      <c r="AI12" s="10" t="str">
        <f>"17tpp"</f>
        <v>17tpp</v>
      </c>
      <c r="AJ12" s="15" t="str">
        <f>"Water Cycle Study (Cherwell Local Plan)"</f>
        <v>Water Cycle Study (Cherwell Local Plan)</v>
      </c>
      <c r="AK12" s="10" t="str">
        <f>"Revenue"</f>
        <v>Revenue</v>
      </c>
      <c r="AL12" s="10" t="str">
        <f>""</f>
        <v/>
      </c>
      <c r="AM12" s="10" t="str">
        <f>""</f>
        <v/>
      </c>
      <c r="AN12" s="10" t="str">
        <f>""</f>
        <v/>
      </c>
      <c r="AO12" s="10" t="str">
        <f>""</f>
        <v/>
      </c>
    </row>
    <row r="13" spans="1:92" s="10" customFormat="1">
      <c r="A13" s="9"/>
      <c r="B13" s="9"/>
      <c r="C13" s="9"/>
      <c r="D13" s="10" t="str">
        <f>"30194"</f>
        <v>30194</v>
      </c>
      <c r="E13" s="11" t="str">
        <f>""</f>
        <v/>
      </c>
      <c r="F13" s="11" t="str">
        <f t="shared" si="0"/>
        <v>372418</v>
      </c>
      <c r="G13" s="11" t="str">
        <f t="shared" si="1"/>
        <v>2017toJAN</v>
      </c>
      <c r="H13" s="11" t="str">
        <f t="shared" si="2"/>
        <v>CRSP06B</v>
      </c>
      <c r="I13" s="11" t="str">
        <f t="shared" si="3"/>
        <v>34</v>
      </c>
      <c r="J13" s="11" t="str">
        <f t="shared" si="4"/>
        <v>Creditor</v>
      </c>
      <c r="K13" s="11" t="str">
        <f>"CS002788"</f>
        <v>CS002788</v>
      </c>
      <c r="L13" s="10" t="str">
        <f>"AKS Ward Limited"</f>
        <v>AKS Ward Limited</v>
      </c>
      <c r="M13" s="12" t="str">
        <f>"10/01/2017 00:00:00"</f>
        <v>10/01/2017 00:00:00</v>
      </c>
      <c r="N13" s="12">
        <v>42745</v>
      </c>
      <c r="O13" s="10" t="str">
        <f>"C007435"</f>
        <v>C007435</v>
      </c>
      <c r="P13" s="13">
        <v>5511.7</v>
      </c>
      <c r="Q13" s="11" t="str">
        <f>"5511.7000"</f>
        <v>5511.7000</v>
      </c>
      <c r="R13" s="10" t="str">
        <f>"059219"</f>
        <v>059219</v>
      </c>
      <c r="S13" s="14" t="str">
        <f>"6614.0400"</f>
        <v>6614.0400</v>
      </c>
      <c r="T13" s="10">
        <v>40081</v>
      </c>
      <c r="U13" s="10">
        <v>4100</v>
      </c>
      <c r="V13" s="10" t="str">
        <f>"Capital Works"</f>
        <v>Capital Works</v>
      </c>
      <c r="W13" s="10" t="str">
        <f>"Capital Works"</f>
        <v>Capital Works</v>
      </c>
      <c r="X13" s="10" t="str">
        <f>VLOOKUP(U13,'[1]Account code lookup'!A:B,2,0)</f>
        <v>Contractors Capital Payments</v>
      </c>
      <c r="Z13" s="10" t="str">
        <f>"Capital Regen and Housing"</f>
        <v>Capital Regen and Housing</v>
      </c>
      <c r="AA13" s="10" t="str">
        <f>"Commercial Development Capital"</f>
        <v>Commercial Development Capital</v>
      </c>
      <c r="AB13" s="10" t="str">
        <f>"c2cdb"</f>
        <v>c2cdb</v>
      </c>
      <c r="AD13" s="10" t="str">
        <f>"ccdb02"</f>
        <v>ccdb02</v>
      </c>
      <c r="AE13" s="10" t="str">
        <f>"Finance &amp; Procurement / Finance"</f>
        <v>Finance &amp; Procurement / Finance</v>
      </c>
      <c r="AG13" s="10" t="str">
        <f>"40081/4100"</f>
        <v>40081/4100</v>
      </c>
      <c r="AI13" s="10" t="str">
        <f>"41cwrk"</f>
        <v>41cwrk</v>
      </c>
      <c r="AJ13" s="15" t="str">
        <f>"PIONEER SQ defectsdetailed corrosion survey as per  proposal X162423, dated 05/10/16."</f>
        <v>PIONEER SQ defectsdetailed corrosion survey as per  proposal X162423, dated 05/10/16.</v>
      </c>
      <c r="AK13" s="10" t="str">
        <f>"Capital"</f>
        <v>Capital</v>
      </c>
      <c r="AL13" s="10" t="str">
        <f>""</f>
        <v/>
      </c>
      <c r="AM13" s="10" t="str">
        <f>""</f>
        <v/>
      </c>
      <c r="AN13" s="10" t="str">
        <f>""</f>
        <v/>
      </c>
      <c r="AO13" s="10" t="str">
        <f>""</f>
        <v/>
      </c>
    </row>
    <row r="14" spans="1:92" s="10" customFormat="1">
      <c r="A14" s="9"/>
      <c r="B14" s="9"/>
      <c r="C14" s="9"/>
      <c r="D14" s="10" t="str">
        <f>"30195"</f>
        <v>30195</v>
      </c>
      <c r="E14" s="11" t="str">
        <f>""</f>
        <v/>
      </c>
      <c r="F14" s="11" t="str">
        <f t="shared" si="0"/>
        <v>372418</v>
      </c>
      <c r="G14" s="11" t="str">
        <f t="shared" si="1"/>
        <v>2017toJAN</v>
      </c>
      <c r="H14" s="11" t="str">
        <f t="shared" si="2"/>
        <v>CRSP06B</v>
      </c>
      <c r="I14" s="11" t="str">
        <f t="shared" si="3"/>
        <v>34</v>
      </c>
      <c r="J14" s="11" t="str">
        <f t="shared" si="4"/>
        <v>Creditor</v>
      </c>
      <c r="K14" s="11" t="str">
        <f>"CS000920"</f>
        <v>CS000920</v>
      </c>
      <c r="L14" s="10" t="str">
        <f>"Alan Baxter Integrated Design"</f>
        <v>Alan Baxter Integrated Design</v>
      </c>
      <c r="M14" s="12" t="str">
        <f>"11/01/2017 00:00:00"</f>
        <v>11/01/2017 00:00:00</v>
      </c>
      <c r="N14" s="12">
        <v>42746</v>
      </c>
      <c r="O14" s="10" t="str">
        <f>"C007842"</f>
        <v>C007842</v>
      </c>
      <c r="P14" s="13">
        <v>3380.65</v>
      </c>
      <c r="Q14" s="11" t="str">
        <f>"3380.6500"</f>
        <v>3380.6500</v>
      </c>
      <c r="R14" s="10" t="str">
        <f>"C0004357"</f>
        <v>C0004357</v>
      </c>
      <c r="S14" s="14" t="str">
        <f>"4056.7800"</f>
        <v>4056.7800</v>
      </c>
      <c r="T14" s="10">
        <v>29210</v>
      </c>
      <c r="U14" s="10">
        <v>1765</v>
      </c>
      <c r="V14" s="10" t="str">
        <f>"Professional Fees"</f>
        <v>Professional Fees</v>
      </c>
      <c r="W14" s="10" t="str">
        <f>"Third Party Payments"</f>
        <v>Third Party Payments</v>
      </c>
      <c r="X14" s="10" t="str">
        <f>VLOOKUP(U14,'[1]Account code lookup'!A:B,2,0)</f>
        <v>Consultants Fees</v>
      </c>
      <c r="Z14" s="10" t="str">
        <f>"Strategic Planning Economy"</f>
        <v>Strategic Planning Economy</v>
      </c>
      <c r="AA14" s="10" t="str">
        <f>"Strategy and Commissioning"</f>
        <v>Strategy and Commissioning</v>
      </c>
      <c r="AB14" s="10" t="str">
        <f>"4sac"</f>
        <v>4sac</v>
      </c>
      <c r="AD14" s="10" t="str">
        <f>"sac01"</f>
        <v>sac01</v>
      </c>
      <c r="AE14" s="10" t="str">
        <f>"Finance &amp; Procurement / Head of Finance &amp; Procurement"</f>
        <v>Finance &amp; Procurement / Head of Finance &amp; Procurement</v>
      </c>
      <c r="AG14" s="10" t="str">
        <f>"29210/1765"</f>
        <v>29210/1765</v>
      </c>
      <c r="AI14" s="10" t="str">
        <f>"17tpp"</f>
        <v>17tpp</v>
      </c>
      <c r="AJ14" s="15" t="str">
        <f>"Kidlington Framework Masterplan SPD"</f>
        <v>Kidlington Framework Masterplan SPD</v>
      </c>
      <c r="AK14" s="10" t="str">
        <f t="shared" ref="AK14:AK25" si="12">"Revenue"</f>
        <v>Revenue</v>
      </c>
      <c r="AL14" s="10" t="str">
        <f>""</f>
        <v/>
      </c>
      <c r="AM14" s="10" t="str">
        <f>""</f>
        <v/>
      </c>
      <c r="AN14" s="10" t="str">
        <f>""</f>
        <v/>
      </c>
      <c r="AO14" s="10" t="str">
        <f>""</f>
        <v/>
      </c>
    </row>
    <row r="15" spans="1:92" s="10" customFormat="1">
      <c r="A15" s="9"/>
      <c r="B15" s="9"/>
      <c r="C15" s="9"/>
      <c r="D15" s="10" t="str">
        <f>"30341"</f>
        <v>30341</v>
      </c>
      <c r="E15" s="11" t="str">
        <f>""</f>
        <v/>
      </c>
      <c r="F15" s="11" t="str">
        <f t="shared" si="0"/>
        <v>372418</v>
      </c>
      <c r="G15" s="11" t="str">
        <f t="shared" si="1"/>
        <v>2017toJAN</v>
      </c>
      <c r="H15" s="11" t="str">
        <f t="shared" si="2"/>
        <v>CRSP06B</v>
      </c>
      <c r="I15" s="11" t="str">
        <f t="shared" si="3"/>
        <v>34</v>
      </c>
      <c r="J15" s="11" t="str">
        <f t="shared" si="4"/>
        <v>Creditor</v>
      </c>
      <c r="K15" s="11" t="str">
        <f>"CS000920"</f>
        <v>CS000920</v>
      </c>
      <c r="L15" s="10" t="str">
        <f>"Alan Baxter Integrated Design"</f>
        <v>Alan Baxter Integrated Design</v>
      </c>
      <c r="M15" s="12" t="str">
        <f>"13/01/2017 00:00:00"</f>
        <v>13/01/2017 00:00:00</v>
      </c>
      <c r="N15" s="12">
        <v>42748</v>
      </c>
      <c r="O15" s="10" t="str">
        <f>"C007857"</f>
        <v>C007857</v>
      </c>
      <c r="P15" s="13">
        <v>38934</v>
      </c>
      <c r="Q15" s="11" t="str">
        <f>"38934.0000"</f>
        <v>38934.0000</v>
      </c>
      <c r="R15" s="10" t="str">
        <f>"C0004403"</f>
        <v>C0004403</v>
      </c>
      <c r="S15" s="14" t="str">
        <f>"46720.8000"</f>
        <v>46720.8000</v>
      </c>
      <c r="T15" s="10">
        <v>29110</v>
      </c>
      <c r="U15" s="10">
        <v>1467</v>
      </c>
      <c r="V15" s="10" t="str">
        <f>"Services"</f>
        <v>Services</v>
      </c>
      <c r="W15" s="10" t="str">
        <f>"Supplies and Services"</f>
        <v>Supplies and Services</v>
      </c>
      <c r="X15" s="10" t="str">
        <f>VLOOKUP(U15,'[1]Account code lookup'!A:B,2,0)</f>
        <v>Consultancy</v>
      </c>
      <c r="Z15" s="10" t="str">
        <f>"Development Management"</f>
        <v>Development Management</v>
      </c>
      <c r="AA15" s="10" t="str">
        <f>"Strategy and Commissioning"</f>
        <v>Strategy and Commissioning</v>
      </c>
      <c r="AB15" s="10" t="str">
        <f>"4sac"</f>
        <v>4sac</v>
      </c>
      <c r="AD15" s="10" t="str">
        <f>"sac02"</f>
        <v>sac02</v>
      </c>
      <c r="AE15" s="10" t="str">
        <f>"Finance &amp; Procurement / Head of Finance &amp; Procurement"</f>
        <v>Finance &amp; Procurement / Head of Finance &amp; Procurement</v>
      </c>
      <c r="AG15" s="10" t="str">
        <f>"29110/1467"</f>
        <v>29110/1467</v>
      </c>
      <c r="AI15" s="10" t="str">
        <f>"14suse"</f>
        <v>14suse</v>
      </c>
      <c r="AJ15" s="15" t="str">
        <f>"Agreement for consultancy services - 10% of the Design Guide"</f>
        <v>Agreement for consultancy services - 10% of the Design Guide</v>
      </c>
      <c r="AK15" s="10" t="str">
        <f t="shared" si="12"/>
        <v>Revenue</v>
      </c>
      <c r="AL15" s="10" t="str">
        <f>""</f>
        <v/>
      </c>
      <c r="AM15" s="10" t="str">
        <f>""</f>
        <v/>
      </c>
      <c r="AN15" s="10" t="str">
        <f>""</f>
        <v/>
      </c>
      <c r="AO15" s="10" t="str">
        <f>""</f>
        <v/>
      </c>
    </row>
    <row r="16" spans="1:92" s="10" customFormat="1">
      <c r="A16" s="9"/>
      <c r="B16" s="9"/>
      <c r="C16" s="9"/>
      <c r="D16" s="10" t="str">
        <f>"30342"</f>
        <v>30342</v>
      </c>
      <c r="E16" s="11" t="str">
        <f>""</f>
        <v/>
      </c>
      <c r="F16" s="11" t="str">
        <f t="shared" si="0"/>
        <v>372418</v>
      </c>
      <c r="G16" s="11" t="str">
        <f t="shared" si="1"/>
        <v>2017toJAN</v>
      </c>
      <c r="H16" s="11" t="str">
        <f t="shared" si="2"/>
        <v>CRSP06B</v>
      </c>
      <c r="I16" s="11" t="str">
        <f t="shared" si="3"/>
        <v>34</v>
      </c>
      <c r="J16" s="11" t="str">
        <f t="shared" si="4"/>
        <v>Creditor</v>
      </c>
      <c r="K16" s="11" t="str">
        <f t="shared" ref="K16:K23" si="13">"CS002336"</f>
        <v>CS002336</v>
      </c>
      <c r="L16" s="10" t="str">
        <f t="shared" ref="L16:L23" si="14">"Alderwood Electrical "</f>
        <v xml:space="preserve">Alderwood Electrical </v>
      </c>
      <c r="M16" s="12" t="str">
        <f>"16/01/2017 00:00:00"</f>
        <v>16/01/2017 00:00:00</v>
      </c>
      <c r="N16" s="12">
        <v>42751</v>
      </c>
      <c r="O16" s="10" t="str">
        <f>"C007474"</f>
        <v>C007474</v>
      </c>
      <c r="P16" s="13">
        <v>485</v>
      </c>
      <c r="Q16" s="11" t="str">
        <f>"485.0000"</f>
        <v>485.0000</v>
      </c>
      <c r="R16" s="10" t="str">
        <f>"C0004451"</f>
        <v>C0004451</v>
      </c>
      <c r="S16" s="14" t="str">
        <f>"1794.0000"</f>
        <v>1794.0000</v>
      </c>
      <c r="T16" s="10">
        <v>21717</v>
      </c>
      <c r="U16" s="10">
        <v>1200</v>
      </c>
      <c r="V16" s="10" t="str">
        <f t="shared" ref="V16:V23" si="15">"Repairs &amp; Maintenance"</f>
        <v>Repairs &amp; Maintenance</v>
      </c>
      <c r="W16" s="10" t="str">
        <f t="shared" ref="W16:W23" si="16">"Premises Related Expenditure"</f>
        <v>Premises Related Expenditure</v>
      </c>
      <c r="X16" s="10" t="str">
        <f>VLOOKUP(U16,'[1]Account code lookup'!A:B,2,0)</f>
        <v>Repair &amp; Maintenance</v>
      </c>
      <c r="Z16" s="10" t="str">
        <f t="shared" ref="Z16:Z24" si="17">"Regeneration and Housing"</f>
        <v>Regeneration and Housing</v>
      </c>
      <c r="AA16" s="10" t="str">
        <f t="shared" ref="AA16:AA24" si="18">"Commercial Development"</f>
        <v>Commercial Development</v>
      </c>
      <c r="AB16" s="10" t="str">
        <f t="shared" ref="AB16:AB24" si="19">"2cdb"</f>
        <v>2cdb</v>
      </c>
      <c r="AD16" s="10" t="str">
        <f t="shared" ref="AD16:AD24" si="20">"cdb02"</f>
        <v>cdb02</v>
      </c>
      <c r="AE16" s="10" t="str">
        <f t="shared" ref="AE16:AE23" si="21">"Finance &amp; Procurement / Finance"</f>
        <v>Finance &amp; Procurement / Finance</v>
      </c>
      <c r="AG16" s="10" t="str">
        <f>"21717/1200"</f>
        <v>21717/1200</v>
      </c>
      <c r="AI16" s="10" t="str">
        <f t="shared" ref="AI16:AI23" si="22">"12prem"</f>
        <v>12prem</v>
      </c>
      <c r="AJ16" s="15" t="str">
        <f>"BODICOTE HOUSE_x000D_
_x000D_
Quotation no 135-16-Nov_x000D_
_x000D_
Re: Red staircase emergencies_x000D_
Thank you for your enquiry, please find below cost and scope of works._x000D_
&amp;#61623; Main building Bodicote house – Replace 2 x faulty 28w 2D emergency fittings c/w microwave sensor f"</f>
        <v>BODICOTE HOUSE_x000D_
_x000D_
Quotation no 135-16-Nov_x000D_
_x000D_
Re: Red staircase emergencies_x000D_
Thank you for your enquiry, please find below cost and scope of works._x000D_
&amp;#61623; Main building Bodicote house – Replace 2 x faulty 28w 2D emergency fittings c/w microwave sensor f</v>
      </c>
      <c r="AK16" s="10" t="str">
        <f t="shared" si="12"/>
        <v>Revenue</v>
      </c>
      <c r="AL16" s="10" t="str">
        <f>""</f>
        <v/>
      </c>
      <c r="AM16" s="10" t="str">
        <f>""</f>
        <v/>
      </c>
      <c r="AN16" s="10" t="str">
        <f>""</f>
        <v/>
      </c>
      <c r="AO16" s="10" t="str">
        <f>""</f>
        <v/>
      </c>
    </row>
    <row r="17" spans="1:41" s="10" customFormat="1">
      <c r="A17" s="9"/>
      <c r="B17" s="9"/>
      <c r="C17" s="9"/>
      <c r="D17" s="10" t="str">
        <f>"30343"</f>
        <v>30343</v>
      </c>
      <c r="E17" s="11" t="str">
        <f>""</f>
        <v/>
      </c>
      <c r="F17" s="11" t="str">
        <f t="shared" si="0"/>
        <v>372418</v>
      </c>
      <c r="G17" s="11" t="str">
        <f t="shared" si="1"/>
        <v>2017toJAN</v>
      </c>
      <c r="H17" s="11" t="str">
        <f t="shared" si="2"/>
        <v>CRSP06B</v>
      </c>
      <c r="I17" s="11" t="str">
        <f t="shared" si="3"/>
        <v>34</v>
      </c>
      <c r="J17" s="11" t="str">
        <f t="shared" si="4"/>
        <v>Creditor</v>
      </c>
      <c r="K17" s="11" t="str">
        <f t="shared" si="13"/>
        <v>CS002336</v>
      </c>
      <c r="L17" s="10" t="str">
        <f t="shared" si="14"/>
        <v xml:space="preserve">Alderwood Electrical </v>
      </c>
      <c r="M17" s="12" t="str">
        <f>"16/01/2017 00:00:00"</f>
        <v>16/01/2017 00:00:00</v>
      </c>
      <c r="N17" s="12">
        <v>42751</v>
      </c>
      <c r="O17" s="10" t="str">
        <f>"C007477"</f>
        <v>C007477</v>
      </c>
      <c r="P17" s="13">
        <v>270</v>
      </c>
      <c r="Q17" s="11" t="str">
        <f>"270.0000"</f>
        <v>270.0000</v>
      </c>
      <c r="R17" s="10" t="str">
        <f>"C0004451"</f>
        <v>C0004451</v>
      </c>
      <c r="S17" s="14" t="str">
        <f>"1794.0000"</f>
        <v>1794.0000</v>
      </c>
      <c r="T17" s="10">
        <v>21717</v>
      </c>
      <c r="U17" s="10">
        <v>1200</v>
      </c>
      <c r="V17" s="10" t="str">
        <f t="shared" si="15"/>
        <v>Repairs &amp; Maintenance</v>
      </c>
      <c r="W17" s="10" t="str">
        <f t="shared" si="16"/>
        <v>Premises Related Expenditure</v>
      </c>
      <c r="X17" s="10" t="str">
        <f>VLOOKUP(U17,'[1]Account code lookup'!A:B,2,0)</f>
        <v>Repair &amp; Maintenance</v>
      </c>
      <c r="Z17" s="10" t="str">
        <f t="shared" si="17"/>
        <v>Regeneration and Housing</v>
      </c>
      <c r="AA17" s="10" t="str">
        <f t="shared" si="18"/>
        <v>Commercial Development</v>
      </c>
      <c r="AB17" s="10" t="str">
        <f t="shared" si="19"/>
        <v>2cdb</v>
      </c>
      <c r="AD17" s="10" t="str">
        <f t="shared" si="20"/>
        <v>cdb02</v>
      </c>
      <c r="AE17" s="10" t="str">
        <f t="shared" si="21"/>
        <v>Finance &amp; Procurement / Finance</v>
      </c>
      <c r="AG17" s="10" t="str">
        <f>"21717/1200"</f>
        <v>21717/1200</v>
      </c>
      <c r="AI17" s="10" t="str">
        <f t="shared" si="22"/>
        <v>12prem</v>
      </c>
      <c r="AJ17" s="15" t="str">
        <f>"BODICOTE HOUSE_x000D_
_x000D_
Quotation no 137-16-Nov_x000D_
_x000D_
Re: Bodicote house – 600-600 recessed PL fittings_x000D_
Thank you for your enquiry, please find below the breakdown cost and scope of works._x000D_
&amp;#61623; Supply 2 x 600/600 recessed modulay direct 2 x 40watt PL light f"</f>
        <v>BODICOTE HOUSE_x000D_
_x000D_
Quotation no 137-16-Nov_x000D_
_x000D_
Re: Bodicote house – 600-600 recessed PL fittings_x000D_
Thank you for your enquiry, please find below the breakdown cost and scope of works._x000D_
&amp;#61623; Supply 2 x 600/600 recessed modulay direct 2 x 40watt PL light f</v>
      </c>
      <c r="AK17" s="10" t="str">
        <f t="shared" si="12"/>
        <v>Revenue</v>
      </c>
      <c r="AL17" s="10" t="str">
        <f>""</f>
        <v/>
      </c>
      <c r="AM17" s="10" t="str">
        <f>""</f>
        <v/>
      </c>
      <c r="AN17" s="10" t="str">
        <f>""</f>
        <v/>
      </c>
      <c r="AO17" s="10" t="str">
        <f>""</f>
        <v/>
      </c>
    </row>
    <row r="18" spans="1:41" s="10" customFormat="1">
      <c r="A18" s="9"/>
      <c r="B18" s="9"/>
      <c r="C18" s="9"/>
      <c r="D18" s="10" t="str">
        <f>"30849"</f>
        <v>30849</v>
      </c>
      <c r="E18" s="11" t="str">
        <f>""</f>
        <v/>
      </c>
      <c r="F18" s="11" t="str">
        <f t="shared" si="0"/>
        <v>372418</v>
      </c>
      <c r="G18" s="11" t="str">
        <f t="shared" si="1"/>
        <v>2017toJAN</v>
      </c>
      <c r="H18" s="11" t="str">
        <f t="shared" si="2"/>
        <v>CRSP06B</v>
      </c>
      <c r="I18" s="11" t="str">
        <f t="shared" si="3"/>
        <v>34</v>
      </c>
      <c r="J18" s="11" t="str">
        <f t="shared" si="4"/>
        <v>Creditor</v>
      </c>
      <c r="K18" s="11" t="str">
        <f t="shared" si="13"/>
        <v>CS002336</v>
      </c>
      <c r="L18" s="10" t="str">
        <f t="shared" si="14"/>
        <v xml:space="preserve">Alderwood Electrical </v>
      </c>
      <c r="M18" s="12" t="str">
        <f>"16/01/2017 00:00:00"</f>
        <v>16/01/2017 00:00:00</v>
      </c>
      <c r="N18" s="12">
        <v>42751</v>
      </c>
      <c r="O18" s="10" t="str">
        <f>"C007476"</f>
        <v>C007476</v>
      </c>
      <c r="P18" s="13">
        <v>350</v>
      </c>
      <c r="Q18" s="11" t="str">
        <f>"350.0000"</f>
        <v>350.0000</v>
      </c>
      <c r="R18" s="10" t="str">
        <f>"C0004451"</f>
        <v>C0004451</v>
      </c>
      <c r="S18" s="14" t="str">
        <f>"1794.0000"</f>
        <v>1794.0000</v>
      </c>
      <c r="T18" s="10">
        <v>21717</v>
      </c>
      <c r="U18" s="10">
        <v>1200</v>
      </c>
      <c r="V18" s="10" t="str">
        <f t="shared" si="15"/>
        <v>Repairs &amp; Maintenance</v>
      </c>
      <c r="W18" s="10" t="str">
        <f t="shared" si="16"/>
        <v>Premises Related Expenditure</v>
      </c>
      <c r="X18" s="10" t="str">
        <f>VLOOKUP(U18,'[1]Account code lookup'!A:B,2,0)</f>
        <v>Repair &amp; Maintenance</v>
      </c>
      <c r="Z18" s="10" t="str">
        <f t="shared" si="17"/>
        <v>Regeneration and Housing</v>
      </c>
      <c r="AA18" s="10" t="str">
        <f t="shared" si="18"/>
        <v>Commercial Development</v>
      </c>
      <c r="AB18" s="10" t="str">
        <f t="shared" si="19"/>
        <v>2cdb</v>
      </c>
      <c r="AD18" s="10" t="str">
        <f t="shared" si="20"/>
        <v>cdb02</v>
      </c>
      <c r="AE18" s="10" t="str">
        <f t="shared" si="21"/>
        <v>Finance &amp; Procurement / Finance</v>
      </c>
      <c r="AG18" s="10" t="str">
        <f>"21717/1200"</f>
        <v>21717/1200</v>
      </c>
      <c r="AI18" s="10" t="str">
        <f t="shared" si="22"/>
        <v>12prem</v>
      </c>
      <c r="AJ18" s="15" t="str">
        <f>"OLD BODICOTE HOUSE_x000D_
_x000D_
Quotation no 138-16-Nov_x000D_
_x000D_
Re: Old Bodicote house – Jupiter fitting_x000D_
Thank you for your enquiry, please find below the breakdown cost and scope of works._x000D_
&amp;#61623; Supply and install 1 x 2 x 35watt T16 Jupiter light fitting in the fr"</f>
        <v>OLD BODICOTE HOUSE_x000D_
_x000D_
Quotation no 138-16-Nov_x000D_
_x000D_
Re: Old Bodicote house – Jupiter fitting_x000D_
Thank you for your enquiry, please find below the breakdown cost and scope of works._x000D_
&amp;#61623; Supply and install 1 x 2 x 35watt T16 Jupiter light fitting in the fr</v>
      </c>
      <c r="AK18" s="10" t="str">
        <f t="shared" si="12"/>
        <v>Revenue</v>
      </c>
      <c r="AL18" s="10" t="str">
        <f>""</f>
        <v/>
      </c>
      <c r="AM18" s="10" t="str">
        <f>""</f>
        <v/>
      </c>
      <c r="AN18" s="10" t="str">
        <f>""</f>
        <v/>
      </c>
      <c r="AO18" s="10" t="str">
        <f>""</f>
        <v/>
      </c>
    </row>
    <row r="19" spans="1:41" s="10" customFormat="1">
      <c r="A19" s="9"/>
      <c r="B19" s="9"/>
      <c r="C19" s="9"/>
      <c r="D19" s="10" t="str">
        <f>"30850"</f>
        <v>30850</v>
      </c>
      <c r="E19" s="11" t="str">
        <f>""</f>
        <v/>
      </c>
      <c r="F19" s="11" t="str">
        <f t="shared" si="0"/>
        <v>372418</v>
      </c>
      <c r="G19" s="11" t="str">
        <f t="shared" si="1"/>
        <v>2017toJAN</v>
      </c>
      <c r="H19" s="11" t="str">
        <f t="shared" si="2"/>
        <v>CRSP06B</v>
      </c>
      <c r="I19" s="11" t="str">
        <f t="shared" si="3"/>
        <v>34</v>
      </c>
      <c r="J19" s="11" t="str">
        <f t="shared" si="4"/>
        <v>Creditor</v>
      </c>
      <c r="K19" s="11" t="str">
        <f t="shared" si="13"/>
        <v>CS002336</v>
      </c>
      <c r="L19" s="10" t="str">
        <f t="shared" si="14"/>
        <v xml:space="preserve">Alderwood Electrical </v>
      </c>
      <c r="M19" s="12" t="str">
        <f>"16/01/2017 00:00:00"</f>
        <v>16/01/2017 00:00:00</v>
      </c>
      <c r="N19" s="12">
        <v>42751</v>
      </c>
      <c r="O19" s="10" t="str">
        <f>"C007646"</f>
        <v>C007646</v>
      </c>
      <c r="P19" s="13">
        <v>330</v>
      </c>
      <c r="Q19" s="11" t="str">
        <f>"330.0000"</f>
        <v>330.0000</v>
      </c>
      <c r="R19" s="10" t="str">
        <f>"C0004451"</f>
        <v>C0004451</v>
      </c>
      <c r="S19" s="14" t="str">
        <f>"1794.0000"</f>
        <v>1794.0000</v>
      </c>
      <c r="T19" s="10">
        <v>31012</v>
      </c>
      <c r="U19" s="10">
        <v>1200</v>
      </c>
      <c r="V19" s="10" t="str">
        <f t="shared" si="15"/>
        <v>Repairs &amp; Maintenance</v>
      </c>
      <c r="W19" s="10" t="str">
        <f t="shared" si="16"/>
        <v>Premises Related Expenditure</v>
      </c>
      <c r="X19" s="10" t="str">
        <f>VLOOKUP(U19,'[1]Account code lookup'!A:B,2,0)</f>
        <v>Repair &amp; Maintenance</v>
      </c>
      <c r="Z19" s="10" t="str">
        <f t="shared" si="17"/>
        <v>Regeneration and Housing</v>
      </c>
      <c r="AA19" s="10" t="str">
        <f t="shared" si="18"/>
        <v>Commercial Development</v>
      </c>
      <c r="AB19" s="10" t="str">
        <f t="shared" si="19"/>
        <v>2cdb</v>
      </c>
      <c r="AD19" s="10" t="str">
        <f t="shared" si="20"/>
        <v>cdb02</v>
      </c>
      <c r="AE19" s="10" t="str">
        <f t="shared" si="21"/>
        <v>Finance &amp; Procurement / Finance</v>
      </c>
      <c r="AG19" s="10" t="str">
        <f>"31012/1200"</f>
        <v>31012/1200</v>
      </c>
      <c r="AI19" s="10" t="str">
        <f t="shared" si="22"/>
        <v>12prem</v>
      </c>
      <c r="AJ19" s="15" t="str">
        <f>"KIOSK 1 &amp; 2 PIONEER SQ, BICESTERElectric safety check to be undertaken at the premisesKeys to be obtained from Leslie Goodman - contact number 01295 221773 after 21/11/16"</f>
        <v>KIOSK 1 &amp; 2 PIONEER SQ, BICESTERElectric safety check to be undertaken at the premisesKeys to be obtained from Leslie Goodman - contact number 01295 221773 after 21/11/16</v>
      </c>
      <c r="AK19" s="10" t="str">
        <f t="shared" si="12"/>
        <v>Revenue</v>
      </c>
      <c r="AL19" s="10" t="str">
        <f>""</f>
        <v/>
      </c>
      <c r="AM19" s="10" t="str">
        <f>""</f>
        <v/>
      </c>
      <c r="AN19" s="10" t="str">
        <f>""</f>
        <v/>
      </c>
      <c r="AO19" s="10" t="str">
        <f>""</f>
        <v/>
      </c>
    </row>
    <row r="20" spans="1:41" s="10" customFormat="1">
      <c r="A20" s="9"/>
      <c r="B20" s="9"/>
      <c r="C20" s="9"/>
      <c r="D20" s="10" t="str">
        <f>"30851"</f>
        <v>30851</v>
      </c>
      <c r="E20" s="11" t="str">
        <f>""</f>
        <v/>
      </c>
      <c r="F20" s="11" t="str">
        <f t="shared" si="0"/>
        <v>372418</v>
      </c>
      <c r="G20" s="11" t="str">
        <f t="shared" si="1"/>
        <v>2017toJAN</v>
      </c>
      <c r="H20" s="11" t="str">
        <f t="shared" si="2"/>
        <v>CRSP06B</v>
      </c>
      <c r="I20" s="11" t="str">
        <f t="shared" si="3"/>
        <v>34</v>
      </c>
      <c r="J20" s="11" t="str">
        <f t="shared" si="4"/>
        <v>Creditor</v>
      </c>
      <c r="K20" s="11" t="str">
        <f t="shared" si="13"/>
        <v>CS002336</v>
      </c>
      <c r="L20" s="10" t="str">
        <f t="shared" si="14"/>
        <v xml:space="preserve">Alderwood Electrical </v>
      </c>
      <c r="M20" s="12" t="str">
        <f>"16/01/2017 00:00:00"</f>
        <v>16/01/2017 00:00:00</v>
      </c>
      <c r="N20" s="12">
        <v>42751</v>
      </c>
      <c r="O20" s="10" t="str">
        <f>"C007475"</f>
        <v>C007475</v>
      </c>
      <c r="P20" s="13">
        <v>60</v>
      </c>
      <c r="Q20" s="11" t="str">
        <f>"60.0000"</f>
        <v>60.0000</v>
      </c>
      <c r="R20" s="10" t="str">
        <f>"C0004451"</f>
        <v>C0004451</v>
      </c>
      <c r="S20" s="14" t="str">
        <f>"1794.0000"</f>
        <v>1794.0000</v>
      </c>
      <c r="T20" s="10">
        <v>31012</v>
      </c>
      <c r="U20" s="10">
        <v>1200</v>
      </c>
      <c r="V20" s="10" t="str">
        <f t="shared" si="15"/>
        <v>Repairs &amp; Maintenance</v>
      </c>
      <c r="W20" s="10" t="str">
        <f t="shared" si="16"/>
        <v>Premises Related Expenditure</v>
      </c>
      <c r="X20" s="10" t="str">
        <f>VLOOKUP(U20,'[1]Account code lookup'!A:B,2,0)</f>
        <v>Repair &amp; Maintenance</v>
      </c>
      <c r="Z20" s="10" t="str">
        <f t="shared" si="17"/>
        <v>Regeneration and Housing</v>
      </c>
      <c r="AA20" s="10" t="str">
        <f t="shared" si="18"/>
        <v>Commercial Development</v>
      </c>
      <c r="AB20" s="10" t="str">
        <f t="shared" si="19"/>
        <v>2cdb</v>
      </c>
      <c r="AD20" s="10" t="str">
        <f t="shared" si="20"/>
        <v>cdb02</v>
      </c>
      <c r="AE20" s="10" t="str">
        <f t="shared" si="21"/>
        <v>Finance &amp; Procurement / Finance</v>
      </c>
      <c r="AG20" s="10" t="str">
        <f>"31012/1200"</f>
        <v>31012/1200</v>
      </c>
      <c r="AI20" s="10" t="str">
        <f t="shared" si="22"/>
        <v>12prem</v>
      </c>
      <c r="AJ20" s="15" t="str">
        <f>"S/C BANBURY HEALTH CENTRE_x000D_
_x000D_
attend to investigate _x000D_
_x000D_
We have received this alert recalling Miniature Circuit Breakers. _x000D_
_x000D_
Contact Bridge Acock"</f>
        <v>S/C BANBURY HEALTH CENTRE_x000D_
_x000D_
attend to investigate _x000D_
_x000D_
We have received this alert recalling Miniature Circuit Breakers. _x000D_
_x000D_
Contact Bridge Acock</v>
      </c>
      <c r="AK20" s="10" t="str">
        <f t="shared" si="12"/>
        <v>Revenue</v>
      </c>
      <c r="AL20" s="10" t="str">
        <f>""</f>
        <v/>
      </c>
      <c r="AM20" s="10" t="str">
        <f>""</f>
        <v/>
      </c>
      <c r="AN20" s="10" t="str">
        <f>""</f>
        <v/>
      </c>
      <c r="AO20" s="10" t="str">
        <f>""</f>
        <v/>
      </c>
    </row>
    <row r="21" spans="1:41" s="10" customFormat="1">
      <c r="A21" s="9"/>
      <c r="B21" s="9"/>
      <c r="C21" s="9"/>
      <c r="D21" s="10" t="str">
        <f>"30852"</f>
        <v>30852</v>
      </c>
      <c r="E21" s="11" t="str">
        <f>""</f>
        <v/>
      </c>
      <c r="F21" s="11" t="str">
        <f t="shared" si="0"/>
        <v>372418</v>
      </c>
      <c r="G21" s="11" t="str">
        <f t="shared" si="1"/>
        <v>2017toJAN</v>
      </c>
      <c r="H21" s="11" t="str">
        <f t="shared" si="2"/>
        <v>CRSP06B</v>
      </c>
      <c r="I21" s="11" t="str">
        <f t="shared" si="3"/>
        <v>34</v>
      </c>
      <c r="J21" s="11" t="str">
        <f t="shared" si="4"/>
        <v>Creditor</v>
      </c>
      <c r="K21" s="11" t="str">
        <f t="shared" si="13"/>
        <v>CS002336</v>
      </c>
      <c r="L21" s="10" t="str">
        <f t="shared" si="14"/>
        <v xml:space="preserve">Alderwood Electrical </v>
      </c>
      <c r="M21" s="12" t="str">
        <f>"23/01/2017 00:00:00"</f>
        <v>23/01/2017 00:00:00</v>
      </c>
      <c r="N21" s="12">
        <v>42758</v>
      </c>
      <c r="O21" s="10" t="str">
        <f>"C007479"</f>
        <v>C007479</v>
      </c>
      <c r="P21" s="13">
        <v>392.5</v>
      </c>
      <c r="Q21" s="11" t="str">
        <f>"392.5000"</f>
        <v>392.5000</v>
      </c>
      <c r="R21" s="10" t="str">
        <f>"C0004543"</f>
        <v>C0004543</v>
      </c>
      <c r="S21" s="14" t="str">
        <f>"2403.2400"</f>
        <v>2403.2400</v>
      </c>
      <c r="T21" s="10">
        <v>21714</v>
      </c>
      <c r="U21" s="10">
        <v>1200</v>
      </c>
      <c r="V21" s="10" t="str">
        <f t="shared" si="15"/>
        <v>Repairs &amp; Maintenance</v>
      </c>
      <c r="W21" s="10" t="str">
        <f t="shared" si="16"/>
        <v>Premises Related Expenditure</v>
      </c>
      <c r="X21" s="10" t="str">
        <f>VLOOKUP(U21,'[1]Account code lookup'!A:B,2,0)</f>
        <v>Repair &amp; Maintenance</v>
      </c>
      <c r="Z21" s="10" t="str">
        <f t="shared" si="17"/>
        <v>Regeneration and Housing</v>
      </c>
      <c r="AA21" s="10" t="str">
        <f t="shared" si="18"/>
        <v>Commercial Development</v>
      </c>
      <c r="AB21" s="10" t="str">
        <f t="shared" si="19"/>
        <v>2cdb</v>
      </c>
      <c r="AD21" s="10" t="str">
        <f t="shared" si="20"/>
        <v>cdb02</v>
      </c>
      <c r="AE21" s="10" t="str">
        <f t="shared" si="21"/>
        <v>Finance &amp; Procurement / Finance</v>
      </c>
      <c r="AG21" s="10" t="str">
        <f>"21714/1200"</f>
        <v>21714/1200</v>
      </c>
      <c r="AI21" s="10" t="str">
        <f t="shared" si="22"/>
        <v>12prem</v>
      </c>
      <c r="AJ21" s="15" t="str">
        <f>"THORPE LANE DEPOTInvestigate and repair faulty flood lights in the skip area"</f>
        <v>THORPE LANE DEPOTInvestigate and repair faulty flood lights in the skip area</v>
      </c>
      <c r="AK21" s="10" t="str">
        <f t="shared" si="12"/>
        <v>Revenue</v>
      </c>
      <c r="AL21" s="10" t="str">
        <f>""</f>
        <v/>
      </c>
      <c r="AM21" s="10" t="str">
        <f>""</f>
        <v/>
      </c>
      <c r="AN21" s="10" t="str">
        <f>""</f>
        <v/>
      </c>
      <c r="AO21" s="10" t="str">
        <f>""</f>
        <v/>
      </c>
    </row>
    <row r="22" spans="1:41" s="10" customFormat="1">
      <c r="A22" s="9"/>
      <c r="B22" s="9"/>
      <c r="C22" s="9"/>
      <c r="D22" s="10" t="str">
        <f>"30853"</f>
        <v>30853</v>
      </c>
      <c r="E22" s="11" t="str">
        <f>""</f>
        <v/>
      </c>
      <c r="F22" s="11" t="str">
        <f t="shared" si="0"/>
        <v>372418</v>
      </c>
      <c r="G22" s="11" t="str">
        <f t="shared" si="1"/>
        <v>2017toJAN</v>
      </c>
      <c r="H22" s="11" t="str">
        <f t="shared" si="2"/>
        <v>CRSP06B</v>
      </c>
      <c r="I22" s="11" t="str">
        <f t="shared" si="3"/>
        <v>34</v>
      </c>
      <c r="J22" s="11" t="str">
        <f t="shared" si="4"/>
        <v>Creditor</v>
      </c>
      <c r="K22" s="11" t="str">
        <f t="shared" si="13"/>
        <v>CS002336</v>
      </c>
      <c r="L22" s="10" t="str">
        <f t="shared" si="14"/>
        <v xml:space="preserve">Alderwood Electrical </v>
      </c>
      <c r="M22" s="12" t="str">
        <f>"23/01/2017 00:00:00"</f>
        <v>23/01/2017 00:00:00</v>
      </c>
      <c r="N22" s="12">
        <v>42758</v>
      </c>
      <c r="O22" s="10" t="str">
        <f>"C007478"</f>
        <v>C007478</v>
      </c>
      <c r="P22" s="13">
        <v>461.7</v>
      </c>
      <c r="Q22" s="11" t="str">
        <f>"461.7000"</f>
        <v>461.7000</v>
      </c>
      <c r="R22" s="10" t="str">
        <f>"C0004543"</f>
        <v>C0004543</v>
      </c>
      <c r="S22" s="14" t="str">
        <f>"2403.2400"</f>
        <v>2403.2400</v>
      </c>
      <c r="T22" s="10">
        <v>21714</v>
      </c>
      <c r="U22" s="10">
        <v>1200</v>
      </c>
      <c r="V22" s="10" t="str">
        <f t="shared" si="15"/>
        <v>Repairs &amp; Maintenance</v>
      </c>
      <c r="W22" s="10" t="str">
        <f t="shared" si="16"/>
        <v>Premises Related Expenditure</v>
      </c>
      <c r="X22" s="10" t="str">
        <f>VLOOKUP(U22,'[1]Account code lookup'!A:B,2,0)</f>
        <v>Repair &amp; Maintenance</v>
      </c>
      <c r="Z22" s="10" t="str">
        <f t="shared" si="17"/>
        <v>Regeneration and Housing</v>
      </c>
      <c r="AA22" s="10" t="str">
        <f t="shared" si="18"/>
        <v>Commercial Development</v>
      </c>
      <c r="AB22" s="10" t="str">
        <f t="shared" si="19"/>
        <v>2cdb</v>
      </c>
      <c r="AD22" s="10" t="str">
        <f t="shared" si="20"/>
        <v>cdb02</v>
      </c>
      <c r="AE22" s="10" t="str">
        <f t="shared" si="21"/>
        <v>Finance &amp; Procurement / Finance</v>
      </c>
      <c r="AG22" s="10" t="str">
        <f>"21714/1200"</f>
        <v>21714/1200</v>
      </c>
      <c r="AI22" s="10" t="str">
        <f t="shared" si="22"/>
        <v>12prem</v>
      </c>
      <c r="AJ22" s="15" t="str">
        <f>"THORPE LANE DEPOTWorkshop lightingInvestigate and repair faulty workshop lighting as per Steve Turner"</f>
        <v>THORPE LANE DEPOTWorkshop lightingInvestigate and repair faulty workshop lighting as per Steve Turner</v>
      </c>
      <c r="AK22" s="10" t="str">
        <f t="shared" si="12"/>
        <v>Revenue</v>
      </c>
      <c r="AL22" s="10" t="str">
        <f>""</f>
        <v/>
      </c>
      <c r="AM22" s="10" t="str">
        <f>""</f>
        <v/>
      </c>
      <c r="AN22" s="10" t="str">
        <f>""</f>
        <v/>
      </c>
      <c r="AO22" s="10" t="str">
        <f>""</f>
        <v/>
      </c>
    </row>
    <row r="23" spans="1:41" s="10" customFormat="1">
      <c r="A23" s="9"/>
      <c r="B23" s="9"/>
      <c r="C23" s="9"/>
      <c r="D23" s="10" t="str">
        <f>"30854"</f>
        <v>30854</v>
      </c>
      <c r="E23" s="11" t="str">
        <f>""</f>
        <v/>
      </c>
      <c r="F23" s="11" t="str">
        <f t="shared" si="0"/>
        <v>372418</v>
      </c>
      <c r="G23" s="11" t="str">
        <f t="shared" si="1"/>
        <v>2017toJAN</v>
      </c>
      <c r="H23" s="11" t="str">
        <f t="shared" si="2"/>
        <v>CRSP06B</v>
      </c>
      <c r="I23" s="11" t="str">
        <f t="shared" si="3"/>
        <v>34</v>
      </c>
      <c r="J23" s="11" t="str">
        <f t="shared" si="4"/>
        <v>Creditor</v>
      </c>
      <c r="K23" s="11" t="str">
        <f t="shared" si="13"/>
        <v>CS002336</v>
      </c>
      <c r="L23" s="10" t="str">
        <f t="shared" si="14"/>
        <v xml:space="preserve">Alderwood Electrical </v>
      </c>
      <c r="M23" s="12" t="str">
        <f>"23/01/2017 00:00:00"</f>
        <v>23/01/2017 00:00:00</v>
      </c>
      <c r="N23" s="12">
        <v>42758</v>
      </c>
      <c r="O23" s="10" t="str">
        <f>"C006597"</f>
        <v>C006597</v>
      </c>
      <c r="P23" s="13">
        <v>1148.5</v>
      </c>
      <c r="Q23" s="11" t="str">
        <f>"1148.5000"</f>
        <v>1148.5000</v>
      </c>
      <c r="R23" s="10" t="str">
        <f>"C0004543"</f>
        <v>C0004543</v>
      </c>
      <c r="S23" s="14" t="str">
        <f>"2403.2400"</f>
        <v>2403.2400</v>
      </c>
      <c r="T23" s="10">
        <v>31013</v>
      </c>
      <c r="U23" s="10">
        <v>1200</v>
      </c>
      <c r="V23" s="10" t="str">
        <f t="shared" si="15"/>
        <v>Repairs &amp; Maintenance</v>
      </c>
      <c r="W23" s="10" t="str">
        <f t="shared" si="16"/>
        <v>Premises Related Expenditure</v>
      </c>
      <c r="X23" s="10" t="str">
        <f>VLOOKUP(U23,'[1]Account code lookup'!A:B,2,0)</f>
        <v>Repair &amp; Maintenance</v>
      </c>
      <c r="Z23" s="10" t="str">
        <f t="shared" si="17"/>
        <v>Regeneration and Housing</v>
      </c>
      <c r="AA23" s="10" t="str">
        <f t="shared" si="18"/>
        <v>Commercial Development</v>
      </c>
      <c r="AB23" s="10" t="str">
        <f t="shared" si="19"/>
        <v>2cdb</v>
      </c>
      <c r="AD23" s="10" t="str">
        <f t="shared" si="20"/>
        <v>cdb02</v>
      </c>
      <c r="AE23" s="10" t="str">
        <f t="shared" si="21"/>
        <v>Finance &amp; Procurement / Finance</v>
      </c>
      <c r="AG23" s="10" t="str">
        <f>"31013/1200"</f>
        <v>31013/1200</v>
      </c>
      <c r="AI23" s="10" t="str">
        <f t="shared" si="22"/>
        <v>12prem</v>
      </c>
      <c r="AJ23" s="15" t="str">
        <f>"s/c PIONEER SQLighting Maintenance? Engineer labour costs £30.00 ex vat per hour? 28w 2D emergency light fitting £70.20 ex vat per fitting? 28w 2D lamp £6.60 ex vat per lamp? 35w T5 lamp £4.00 ex vat per lamp&amp;"</f>
        <v>s/c PIONEER SQLighting Maintenance? Engineer labour costs £30.00 ex vat per hour? 28w 2D emergency light fitting £70.20 ex vat per fitting? 28w 2D lamp £6.60 ex vat per lamp? 35w T5 lamp £4.00 ex vat per lamp&amp;</v>
      </c>
      <c r="AK23" s="10" t="str">
        <f t="shared" si="12"/>
        <v>Revenue</v>
      </c>
      <c r="AL23" s="10" t="str">
        <f>""</f>
        <v/>
      </c>
      <c r="AM23" s="10" t="str">
        <f>""</f>
        <v/>
      </c>
      <c r="AN23" s="10" t="str">
        <f>""</f>
        <v/>
      </c>
      <c r="AO23" s="10" t="str">
        <f>""</f>
        <v/>
      </c>
    </row>
    <row r="24" spans="1:41" s="10" customFormat="1">
      <c r="A24" s="9"/>
      <c r="B24" s="9"/>
      <c r="C24" s="9"/>
      <c r="D24" s="10" t="str">
        <f>"32383"</f>
        <v>32383</v>
      </c>
      <c r="E24" s="11" t="str">
        <f>""</f>
        <v/>
      </c>
      <c r="F24" s="11" t="str">
        <f t="shared" si="0"/>
        <v>372418</v>
      </c>
      <c r="G24" s="11" t="str">
        <f t="shared" si="1"/>
        <v>2017toJAN</v>
      </c>
      <c r="H24" s="11" t="str">
        <f t="shared" si="2"/>
        <v>CRSP06B</v>
      </c>
      <c r="I24" s="11" t="str">
        <f t="shared" si="3"/>
        <v>34</v>
      </c>
      <c r="J24" s="11" t="str">
        <f t="shared" si="4"/>
        <v>Creditor</v>
      </c>
      <c r="K24" s="11" t="str">
        <f>"CS000930"</f>
        <v>CS000930</v>
      </c>
      <c r="L24" s="10" t="str">
        <f>"Almond Tree Hotel"</f>
        <v>Almond Tree Hotel</v>
      </c>
      <c r="M24" s="12" t="str">
        <f>"06/01/2017 00:00:00"</f>
        <v>06/01/2017 00:00:00</v>
      </c>
      <c r="N24" s="12">
        <v>42741</v>
      </c>
      <c r="O24" s="10" t="str">
        <f>"C007444"</f>
        <v>C007444</v>
      </c>
      <c r="P24" s="13">
        <v>916.66</v>
      </c>
      <c r="Q24" s="11" t="str">
        <f>"916.6600"</f>
        <v>916.6600</v>
      </c>
      <c r="R24" s="10" t="str">
        <f>"C0004295"</f>
        <v>C0004295</v>
      </c>
      <c r="S24" s="14" t="str">
        <f>"1100.0000"</f>
        <v>1100.0000</v>
      </c>
      <c r="T24" s="10">
        <v>28630</v>
      </c>
      <c r="U24" s="10">
        <v>1490</v>
      </c>
      <c r="V24" s="10" t="str">
        <f>"Services"</f>
        <v>Services</v>
      </c>
      <c r="W24" s="10" t="str">
        <f>"Supplies and Services"</f>
        <v>Supplies and Services</v>
      </c>
      <c r="X24" s="10" t="str">
        <f>VLOOKUP(U24,'[1]Account code lookup'!A:B,2,0)</f>
        <v>B&amp;B charges</v>
      </c>
      <c r="Z24" s="10" t="str">
        <f t="shared" si="17"/>
        <v>Regeneration and Housing</v>
      </c>
      <c r="AA24" s="10" t="str">
        <f t="shared" si="18"/>
        <v>Commercial Development</v>
      </c>
      <c r="AB24" s="10" t="str">
        <f t="shared" si="19"/>
        <v>2cdb</v>
      </c>
      <c r="AD24" s="10" t="str">
        <f t="shared" si="20"/>
        <v>cdb02</v>
      </c>
      <c r="AE24" s="10" t="str">
        <f>"Regeneration &amp; Housing / Housing Needs"</f>
        <v>Regeneration &amp; Housing / Housing Needs</v>
      </c>
      <c r="AG24" s="10" t="str">
        <f>"28630/1490"</f>
        <v>28630/1490</v>
      </c>
      <c r="AI24" s="10" t="str">
        <f>"14suse"</f>
        <v>14suse</v>
      </c>
      <c r="AJ24" s="15" t="str">
        <f>"Amanda Tomlin - 22 November - 11 December 2016 - £55/night - 20 nights"</f>
        <v>Amanda Tomlin - 22 November - 11 December 2016 - £55/night - 20 nights</v>
      </c>
      <c r="AK24" s="10" t="str">
        <f t="shared" si="12"/>
        <v>Revenue</v>
      </c>
      <c r="AL24" s="10" t="str">
        <f>""</f>
        <v/>
      </c>
      <c r="AM24" s="10" t="str">
        <f>""</f>
        <v/>
      </c>
      <c r="AN24" s="10" t="str">
        <f>""</f>
        <v/>
      </c>
      <c r="AO24" s="10" t="str">
        <f>""</f>
        <v/>
      </c>
    </row>
    <row r="25" spans="1:41" s="10" customFormat="1">
      <c r="A25" s="9"/>
      <c r="B25" s="9"/>
      <c r="C25" s="9"/>
      <c r="D25" s="10" t="str">
        <f>"32384"</f>
        <v>32384</v>
      </c>
      <c r="E25" s="11" t="str">
        <f>""</f>
        <v/>
      </c>
      <c r="F25" s="11" t="str">
        <f t="shared" si="0"/>
        <v>372418</v>
      </c>
      <c r="G25" s="11" t="str">
        <f t="shared" si="1"/>
        <v>2017toJAN</v>
      </c>
      <c r="H25" s="11" t="str">
        <f t="shared" si="2"/>
        <v>CRSP06B</v>
      </c>
      <c r="I25" s="11" t="str">
        <f t="shared" si="3"/>
        <v>34</v>
      </c>
      <c r="J25" s="11" t="str">
        <f t="shared" si="4"/>
        <v>Creditor</v>
      </c>
      <c r="K25" s="11" t="str">
        <f>"CS000931"</f>
        <v>CS000931</v>
      </c>
      <c r="L25" s="10" t="str">
        <f>"Alpha Waste Solutions Ltd Uk"</f>
        <v>Alpha Waste Solutions Ltd Uk</v>
      </c>
      <c r="M25" s="12" t="str">
        <f>"13/01/2017 00:00:00"</f>
        <v>13/01/2017 00:00:00</v>
      </c>
      <c r="N25" s="12">
        <v>42748</v>
      </c>
      <c r="O25" s="10" t="str">
        <f>"C007542"</f>
        <v>C007542</v>
      </c>
      <c r="P25" s="13">
        <v>4989.6000000000004</v>
      </c>
      <c r="Q25" s="11" t="str">
        <f>"4989.6000"</f>
        <v>4989.6000</v>
      </c>
      <c r="R25" s="10" t="str">
        <f>"C0004404"</f>
        <v>C0004404</v>
      </c>
      <c r="S25" s="14" t="str">
        <f>"5987.5200"</f>
        <v>5987.5200</v>
      </c>
      <c r="T25" s="10">
        <v>25801</v>
      </c>
      <c r="U25" s="10">
        <v>1405</v>
      </c>
      <c r="V25" s="10" t="str">
        <f>"Equipment, furniture and mats"</f>
        <v>Equipment, furniture and mats</v>
      </c>
      <c r="W25" s="10" t="str">
        <f>"Supplies and Services"</f>
        <v>Supplies and Services</v>
      </c>
      <c r="X25" s="10" t="str">
        <f>VLOOKUP(U25,'[1]Account code lookup'!A:B,2,0)</f>
        <v>Materials General</v>
      </c>
      <c r="Z25" s="10" t="str">
        <f>"Environmental Services"</f>
        <v>Environmental Services</v>
      </c>
      <c r="AA25" s="10" t="str">
        <f>"Operations and Delivery"</f>
        <v>Operations and Delivery</v>
      </c>
      <c r="AB25" s="10" t="str">
        <f>"5oad"</f>
        <v>5oad</v>
      </c>
      <c r="AD25" s="10" t="str">
        <f>"oad02"</f>
        <v>oad02</v>
      </c>
      <c r="AE25" s="10" t="str">
        <f>"Finance &amp; Procurement / Head of Finance &amp; Procurement"</f>
        <v>Finance &amp; Procurement / Head of Finance &amp; Procurement</v>
      </c>
      <c r="AG25" s="10" t="str">
        <f>"25801/1405"</f>
        <v>25801/1405</v>
      </c>
      <c r="AI25" s="10" t="str">
        <f>"14suse"</f>
        <v>14suse</v>
      </c>
      <c r="AJ25" s="15" t="str">
        <f>"21,000 AWS1008-OP Garden Waste Sacks Own Print_x000D_
Quotation: 7384"</f>
        <v>21,000 AWS1008-OP Garden Waste Sacks Own Print_x000D_
Quotation: 7384</v>
      </c>
      <c r="AK25" s="10" t="str">
        <f t="shared" si="12"/>
        <v>Revenue</v>
      </c>
      <c r="AL25" s="10" t="str">
        <f>""</f>
        <v/>
      </c>
      <c r="AM25" s="10" t="str">
        <f>""</f>
        <v/>
      </c>
      <c r="AN25" s="10" t="str">
        <f>""</f>
        <v/>
      </c>
      <c r="AO25" s="10" t="str">
        <f>""</f>
        <v/>
      </c>
    </row>
    <row r="26" spans="1:41" s="10" customFormat="1">
      <c r="A26" s="9"/>
      <c r="B26" s="9"/>
      <c r="C26" s="9"/>
      <c r="D26" s="10" t="str">
        <f>"32386"</f>
        <v>32386</v>
      </c>
      <c r="E26" s="11" t="str">
        <f>""</f>
        <v/>
      </c>
      <c r="F26" s="11" t="str">
        <f t="shared" si="0"/>
        <v>372418</v>
      </c>
      <c r="G26" s="11" t="str">
        <f t="shared" si="1"/>
        <v>2017toJAN</v>
      </c>
      <c r="H26" s="11" t="str">
        <f t="shared" si="2"/>
        <v>CRSP06B</v>
      </c>
      <c r="I26" s="11" t="str">
        <f t="shared" si="3"/>
        <v>34</v>
      </c>
      <c r="J26" s="11" t="str">
        <f t="shared" si="4"/>
        <v>Creditor</v>
      </c>
      <c r="K26" s="11" t="str">
        <f>"CS000940"</f>
        <v>CS000940</v>
      </c>
      <c r="L26" s="10" t="str">
        <f>"Amicus Environmental Ltd"</f>
        <v>Amicus Environmental Ltd</v>
      </c>
      <c r="M26" s="12" t="str">
        <f>"20/01/2017 00:00:00"</f>
        <v>20/01/2017 00:00:00</v>
      </c>
      <c r="N26" s="12">
        <v>42755</v>
      </c>
      <c r="O26" s="10" t="str">
        <f>"C007846"</f>
        <v>C007846</v>
      </c>
      <c r="P26" s="13">
        <v>450</v>
      </c>
      <c r="Q26" s="11" t="str">
        <f>"450.0000"</f>
        <v>450.0000</v>
      </c>
      <c r="R26" s="10" t="str">
        <f>"C0004496"</f>
        <v>C0004496</v>
      </c>
      <c r="S26" s="14" t="str">
        <f>"540.0000"</f>
        <v>540.0000</v>
      </c>
      <c r="T26" s="10">
        <v>40075</v>
      </c>
      <c r="U26" s="10">
        <v>4100</v>
      </c>
      <c r="V26" s="10" t="str">
        <f>"Capital Works"</f>
        <v>Capital Works</v>
      </c>
      <c r="W26" s="10" t="str">
        <f>"Capital Works"</f>
        <v>Capital Works</v>
      </c>
      <c r="X26" s="10" t="str">
        <f>VLOOKUP(U26,'[1]Account code lookup'!A:B,2,0)</f>
        <v>Contractors Capital Payments</v>
      </c>
      <c r="Z26" s="10" t="str">
        <f>"Capital Regen and Housing"</f>
        <v>Capital Regen and Housing</v>
      </c>
      <c r="AA26" s="10" t="str">
        <f>"Commercial Development Capital"</f>
        <v>Commercial Development Capital</v>
      </c>
      <c r="AB26" s="10" t="str">
        <f>"c2cdb"</f>
        <v>c2cdb</v>
      </c>
      <c r="AD26" s="10" t="str">
        <f>"ccdb02"</f>
        <v>ccdb02</v>
      </c>
      <c r="AE26" s="10" t="str">
        <f>"Finance &amp; Procurement / Finance"</f>
        <v>Finance &amp; Procurement / Finance</v>
      </c>
      <c r="AG26" s="10" t="str">
        <f>"40075/4100"</f>
        <v>40075/4100</v>
      </c>
      <c r="AI26" s="10" t="str">
        <f>"41cwrk"</f>
        <v>41cwrk</v>
      </c>
      <c r="AJ26" s="15" t="str">
        <f>"ORCHARD WAY GARAGES_x000D_
_x000D_
Asbestos survey for the above garages"</f>
        <v>ORCHARD WAY GARAGES_x000D_
_x000D_
Asbestos survey for the above garages</v>
      </c>
      <c r="AK26" s="10" t="str">
        <f>"Capital"</f>
        <v>Capital</v>
      </c>
      <c r="AL26" s="10" t="str">
        <f>""</f>
        <v/>
      </c>
      <c r="AM26" s="10" t="str">
        <f>""</f>
        <v/>
      </c>
      <c r="AN26" s="10" t="str">
        <f>""</f>
        <v/>
      </c>
      <c r="AO26" s="10" t="str">
        <f>""</f>
        <v/>
      </c>
    </row>
    <row r="27" spans="1:41" s="10" customFormat="1">
      <c r="A27" s="9"/>
      <c r="B27" s="9"/>
      <c r="C27" s="9"/>
      <c r="D27" s="10" t="str">
        <f>"32473"</f>
        <v>32473</v>
      </c>
      <c r="E27" s="11" t="str">
        <f>""</f>
        <v/>
      </c>
      <c r="F27" s="11" t="str">
        <f t="shared" si="0"/>
        <v>372418</v>
      </c>
      <c r="G27" s="11" t="str">
        <f t="shared" si="1"/>
        <v>2017toJAN</v>
      </c>
      <c r="H27" s="11" t="str">
        <f t="shared" si="2"/>
        <v>CRSP06B</v>
      </c>
      <c r="I27" s="11" t="str">
        <f t="shared" si="3"/>
        <v>34</v>
      </c>
      <c r="J27" s="11" t="str">
        <f t="shared" si="4"/>
        <v>Creditor</v>
      </c>
      <c r="K27" s="11" t="str">
        <f>"CS003037"</f>
        <v>CS003037</v>
      </c>
      <c r="L27" s="10" t="str">
        <f>"Angel Springs Ltd"</f>
        <v>Angel Springs Ltd</v>
      </c>
      <c r="M27" s="12" t="str">
        <f>"26/01/2017 00:00:00"</f>
        <v>26/01/2017 00:00:00</v>
      </c>
      <c r="N27" s="12">
        <v>42761</v>
      </c>
      <c r="O27" s="10" t="str">
        <f>"C007274"</f>
        <v>C007274</v>
      </c>
      <c r="P27" s="13">
        <v>174</v>
      </c>
      <c r="Q27" s="11" t="str">
        <f>"174.0000"</f>
        <v>174.0000</v>
      </c>
      <c r="R27" s="10" t="str">
        <f>"059264"</f>
        <v>059264</v>
      </c>
      <c r="S27" s="14" t="str">
        <f>"3611.1600"</f>
        <v>3611.1600</v>
      </c>
      <c r="T27" s="10">
        <v>21715</v>
      </c>
      <c r="U27" s="10">
        <v>1200</v>
      </c>
      <c r="V27" s="10" t="str">
        <f>"Repairs &amp; Maintenance"</f>
        <v>Repairs &amp; Maintenance</v>
      </c>
      <c r="W27" s="10" t="str">
        <f>"Premises Related Expenditure"</f>
        <v>Premises Related Expenditure</v>
      </c>
      <c r="X27" s="10" t="str">
        <f>VLOOKUP(U27,'[1]Account code lookup'!A:B,2,0)</f>
        <v>Repair &amp; Maintenance</v>
      </c>
      <c r="Z27" s="10" t="str">
        <f>"Regeneration and Housing"</f>
        <v>Regeneration and Housing</v>
      </c>
      <c r="AA27" s="10" t="str">
        <f>"Commercial Development"</f>
        <v>Commercial Development</v>
      </c>
      <c r="AB27" s="10" t="str">
        <f>"2cdb"</f>
        <v>2cdb</v>
      </c>
      <c r="AD27" s="10" t="str">
        <f>"cdb02"</f>
        <v>cdb02</v>
      </c>
      <c r="AE27" s="10" t="str">
        <f>"Regeneration &amp; Housing / Assets &amp; Facilities Management"</f>
        <v>Regeneration &amp; Housing / Assets &amp; Facilities Management</v>
      </c>
      <c r="AG27" s="10" t="str">
        <f>"21715/1200"</f>
        <v>21715/1200</v>
      </c>
      <c r="AI27" s="10" t="str">
        <f>"12prem"</f>
        <v>12prem</v>
      </c>
      <c r="AJ27" s="15" t="str">
        <f>""</f>
        <v/>
      </c>
      <c r="AK27" s="10" t="str">
        <f t="shared" ref="AK27:AK35" si="23">"Revenue"</f>
        <v>Revenue</v>
      </c>
      <c r="AL27" s="10" t="str">
        <f>""</f>
        <v/>
      </c>
      <c r="AM27" s="10" t="str">
        <f>""</f>
        <v/>
      </c>
      <c r="AN27" s="10" t="str">
        <f>""</f>
        <v/>
      </c>
      <c r="AO27" s="10" t="str">
        <f>""</f>
        <v/>
      </c>
    </row>
    <row r="28" spans="1:41" s="10" customFormat="1">
      <c r="A28" s="9"/>
      <c r="B28" s="9"/>
      <c r="C28" s="9"/>
      <c r="D28" s="10" t="str">
        <f>"32872"</f>
        <v>32872</v>
      </c>
      <c r="E28" s="11" t="str">
        <f>""</f>
        <v/>
      </c>
      <c r="F28" s="11" t="str">
        <f t="shared" si="0"/>
        <v>372418</v>
      </c>
      <c r="G28" s="11" t="str">
        <f t="shared" si="1"/>
        <v>2017toJAN</v>
      </c>
      <c r="H28" s="11" t="str">
        <f t="shared" si="2"/>
        <v>CRSP06B</v>
      </c>
      <c r="I28" s="11" t="str">
        <f t="shared" si="3"/>
        <v>34</v>
      </c>
      <c r="J28" s="11" t="str">
        <f t="shared" si="4"/>
        <v>Creditor</v>
      </c>
      <c r="K28" s="11" t="str">
        <f>"CS003037"</f>
        <v>CS003037</v>
      </c>
      <c r="L28" s="10" t="str">
        <f>"Angel Springs Ltd"</f>
        <v>Angel Springs Ltd</v>
      </c>
      <c r="M28" s="12" t="str">
        <f>"26/01/2017 00:00:00"</f>
        <v>26/01/2017 00:00:00</v>
      </c>
      <c r="N28" s="12">
        <v>42761</v>
      </c>
      <c r="O28" s="10" t="str">
        <f>"C007273"</f>
        <v>C007273</v>
      </c>
      <c r="P28" s="13">
        <v>2835.3</v>
      </c>
      <c r="Q28" s="11" t="str">
        <f>"2835.3000"</f>
        <v>2835.3000</v>
      </c>
      <c r="R28" s="10" t="str">
        <f>"059264"</f>
        <v>059264</v>
      </c>
      <c r="S28" s="14" t="str">
        <f>"3611.1600"</f>
        <v>3611.1600</v>
      </c>
      <c r="T28" s="10">
        <v>21717</v>
      </c>
      <c r="U28" s="10">
        <v>1200</v>
      </c>
      <c r="V28" s="10" t="str">
        <f>"Repairs &amp; Maintenance"</f>
        <v>Repairs &amp; Maintenance</v>
      </c>
      <c r="W28" s="10" t="str">
        <f>"Premises Related Expenditure"</f>
        <v>Premises Related Expenditure</v>
      </c>
      <c r="X28" s="10" t="str">
        <f>VLOOKUP(U28,'[1]Account code lookup'!A:B,2,0)</f>
        <v>Repair &amp; Maintenance</v>
      </c>
      <c r="Z28" s="10" t="str">
        <f>"Regeneration and Housing"</f>
        <v>Regeneration and Housing</v>
      </c>
      <c r="AA28" s="10" t="str">
        <f>"Commercial Development"</f>
        <v>Commercial Development</v>
      </c>
      <c r="AB28" s="10" t="str">
        <f>"2cdb"</f>
        <v>2cdb</v>
      </c>
      <c r="AD28" s="10" t="str">
        <f>"cdb02"</f>
        <v>cdb02</v>
      </c>
      <c r="AE28" s="10" t="str">
        <f>"Regeneration &amp; Housing / Assets &amp; Facilities Management"</f>
        <v>Regeneration &amp; Housing / Assets &amp; Facilities Management</v>
      </c>
      <c r="AG28" s="10" t="str">
        <f>"21717/1200"</f>
        <v>21717/1200</v>
      </c>
      <c r="AI28" s="10" t="str">
        <f>"12prem"</f>
        <v>12prem</v>
      </c>
      <c r="AJ28" s="15" t="str">
        <f>""</f>
        <v/>
      </c>
      <c r="AK28" s="10" t="str">
        <f t="shared" si="23"/>
        <v>Revenue</v>
      </c>
      <c r="AL28" s="10" t="str">
        <f>""</f>
        <v/>
      </c>
      <c r="AM28" s="10" t="str">
        <f>""</f>
        <v/>
      </c>
      <c r="AN28" s="10" t="str">
        <f>""</f>
        <v/>
      </c>
      <c r="AO28" s="10" t="str">
        <f>""</f>
        <v/>
      </c>
    </row>
    <row r="29" spans="1:41" s="10" customFormat="1">
      <c r="A29" s="9"/>
      <c r="B29" s="9"/>
      <c r="C29" s="9"/>
      <c r="D29" s="10" t="str">
        <f>"32915"</f>
        <v>32915</v>
      </c>
      <c r="E29" s="11" t="str">
        <f>""</f>
        <v/>
      </c>
      <c r="F29" s="11" t="str">
        <f t="shared" si="0"/>
        <v>372418</v>
      </c>
      <c r="G29" s="11" t="str">
        <f t="shared" si="1"/>
        <v>2017toJAN</v>
      </c>
      <c r="H29" s="11" t="str">
        <f t="shared" si="2"/>
        <v>CRSP06B</v>
      </c>
      <c r="I29" s="11" t="str">
        <f t="shared" si="3"/>
        <v>34</v>
      </c>
      <c r="J29" s="11" t="str">
        <f t="shared" si="4"/>
        <v>Creditor</v>
      </c>
      <c r="K29" s="11" t="str">
        <f>"CS002818"</f>
        <v>CS002818</v>
      </c>
      <c r="L29" s="10" t="str">
        <f>"APC Cleaning &amp; Maintenance Services Ltd"</f>
        <v>APC Cleaning &amp; Maintenance Services Ltd</v>
      </c>
      <c r="M29" s="12" t="str">
        <f>"27/01/2017 00:00:00"</f>
        <v>27/01/2017 00:00:00</v>
      </c>
      <c r="N29" s="12">
        <v>42762</v>
      </c>
      <c r="O29" s="10" t="str">
        <f>"C007986"</f>
        <v>C007986</v>
      </c>
      <c r="P29" s="13">
        <v>328</v>
      </c>
      <c r="Q29" s="11" t="str">
        <f>"328.0000"</f>
        <v>328.0000</v>
      </c>
      <c r="R29" s="10" t="str">
        <f>"C0004625"</f>
        <v>C0004625</v>
      </c>
      <c r="S29" s="14" t="str">
        <f>"660.0000"</f>
        <v>660.0000</v>
      </c>
      <c r="T29" s="10">
        <v>28307</v>
      </c>
      <c r="U29" s="10">
        <v>1271</v>
      </c>
      <c r="V29" s="10" t="str">
        <f>"Cleaning &amp; domestic supplies"</f>
        <v>Cleaning &amp; domestic supplies</v>
      </c>
      <c r="W29" s="10" t="str">
        <f>"Premises Related Expenditure"</f>
        <v>Premises Related Expenditure</v>
      </c>
      <c r="X29" s="10" t="str">
        <f>VLOOKUP(U29,'[1]Account code lookup'!A:B,2,0)</f>
        <v>Contract Cleaning</v>
      </c>
      <c r="Z29" s="10" t="str">
        <f>"Regeneration and Housing"</f>
        <v>Regeneration and Housing</v>
      </c>
      <c r="AA29" s="10" t="str">
        <f>"Commercial Development"</f>
        <v>Commercial Development</v>
      </c>
      <c r="AB29" s="10" t="str">
        <f>"2cdb"</f>
        <v>2cdb</v>
      </c>
      <c r="AD29" s="10" t="str">
        <f>"cdb02"</f>
        <v>cdb02</v>
      </c>
      <c r="AE29" s="10" t="str">
        <f>"Regeneration &amp; Housing / Delivery Team"</f>
        <v>Regeneration &amp; Housing / Delivery Team</v>
      </c>
      <c r="AG29" s="10" t="str">
        <f>"28307/1271"</f>
        <v>28307/1271</v>
      </c>
      <c r="AI29" s="10" t="str">
        <f>"12prem"</f>
        <v>12prem</v>
      </c>
      <c r="AJ29" s="15" t="str">
        <f>"TOWN CENTRE HOUSE_x000D_
2 x fortnightly cleans, 1 x external_x000D_
Invoice: 297886"</f>
        <v>TOWN CENTRE HOUSE_x000D_
2 x fortnightly cleans, 1 x external_x000D_
Invoice: 297886</v>
      </c>
      <c r="AK29" s="10" t="str">
        <f t="shared" si="23"/>
        <v>Revenue</v>
      </c>
      <c r="AL29" s="10" t="str">
        <f>""</f>
        <v/>
      </c>
      <c r="AM29" s="10" t="str">
        <f>""</f>
        <v/>
      </c>
      <c r="AN29" s="10" t="str">
        <f>""</f>
        <v/>
      </c>
      <c r="AO29" s="10" t="str">
        <f>""</f>
        <v/>
      </c>
    </row>
    <row r="30" spans="1:41" s="10" customFormat="1">
      <c r="A30" s="9"/>
      <c r="B30" s="9"/>
      <c r="C30" s="9"/>
      <c r="D30" s="10" t="str">
        <f>"34861"</f>
        <v>34861</v>
      </c>
      <c r="E30" s="11" t="str">
        <f>""</f>
        <v/>
      </c>
      <c r="F30" s="11" t="str">
        <f t="shared" si="0"/>
        <v>372418</v>
      </c>
      <c r="G30" s="11" t="str">
        <f t="shared" si="1"/>
        <v>2017toJAN</v>
      </c>
      <c r="H30" s="11" t="str">
        <f t="shared" si="2"/>
        <v>CRSP06B</v>
      </c>
      <c r="I30" s="11" t="str">
        <f t="shared" si="3"/>
        <v>34</v>
      </c>
      <c r="J30" s="11" t="str">
        <f t="shared" si="4"/>
        <v>Creditor</v>
      </c>
      <c r="K30" s="11" t="str">
        <f>"CS002818"</f>
        <v>CS002818</v>
      </c>
      <c r="L30" s="10" t="str">
        <f>"APC Cleaning &amp; Maintenance Services Ltd"</f>
        <v>APC Cleaning &amp; Maintenance Services Ltd</v>
      </c>
      <c r="M30" s="12" t="str">
        <f>"27/01/2017 00:00:00"</f>
        <v>27/01/2017 00:00:00</v>
      </c>
      <c r="N30" s="12">
        <v>42762</v>
      </c>
      <c r="O30" s="10" t="str">
        <f>"C007985"</f>
        <v>C007985</v>
      </c>
      <c r="P30" s="13">
        <v>84</v>
      </c>
      <c r="Q30" s="11" t="str">
        <f>"84.0000"</f>
        <v>84.0000</v>
      </c>
      <c r="R30" s="10" t="str">
        <f>"C0004625"</f>
        <v>C0004625</v>
      </c>
      <c r="S30" s="14" t="str">
        <f>"660.0000"</f>
        <v>660.0000</v>
      </c>
      <c r="T30" s="10">
        <v>29510</v>
      </c>
      <c r="U30" s="10">
        <v>1271</v>
      </c>
      <c r="V30" s="10" t="str">
        <f>"Cleaning &amp; domestic supplies"</f>
        <v>Cleaning &amp; domestic supplies</v>
      </c>
      <c r="W30" s="10" t="str">
        <f>"Premises Related Expenditure"</f>
        <v>Premises Related Expenditure</v>
      </c>
      <c r="X30" s="10" t="str">
        <f>VLOOKUP(U30,'[1]Account code lookup'!A:B,2,0)</f>
        <v>Contract Cleaning</v>
      </c>
      <c r="Z30" s="10" t="str">
        <f>"Regeneration and Housing"</f>
        <v>Regeneration and Housing</v>
      </c>
      <c r="AA30" s="10" t="str">
        <f>"Commercial Development"</f>
        <v>Commercial Development</v>
      </c>
      <c r="AB30" s="10" t="str">
        <f>"2cdb"</f>
        <v>2cdb</v>
      </c>
      <c r="AD30" s="10" t="str">
        <f>"cdb02"</f>
        <v>cdb02</v>
      </c>
      <c r="AE30" s="10" t="str">
        <f>"Regeneration &amp; Housing / Delivery Team"</f>
        <v>Regeneration &amp; Housing / Delivery Team</v>
      </c>
      <c r="AG30" s="10" t="str">
        <f>"29510/1271"</f>
        <v>29510/1271</v>
      </c>
      <c r="AI30" s="10" t="str">
        <f>"12prem"</f>
        <v>12prem</v>
      </c>
      <c r="AJ30" s="15" t="str">
        <f>"ST LEONARDS_x000D_
SERVICE CHARGE_x000D_
2 x fortnightly clean &amp; 1 x gardening_x000D_
Invoice 297848"</f>
        <v>ST LEONARDS_x000D_
SERVICE CHARGE_x000D_
2 x fortnightly clean &amp; 1 x gardening_x000D_
Invoice 297848</v>
      </c>
      <c r="AK30" s="10" t="str">
        <f t="shared" si="23"/>
        <v>Revenue</v>
      </c>
      <c r="AL30" s="10" t="str">
        <f>""</f>
        <v/>
      </c>
      <c r="AM30" s="10" t="str">
        <f>""</f>
        <v/>
      </c>
      <c r="AN30" s="10" t="str">
        <f>""</f>
        <v/>
      </c>
      <c r="AO30" s="10" t="str">
        <f>""</f>
        <v/>
      </c>
    </row>
    <row r="31" spans="1:41" s="10" customFormat="1">
      <c r="A31" s="9"/>
      <c r="B31" s="9"/>
      <c r="C31" s="9"/>
      <c r="D31" s="10" t="str">
        <f>"27779"</f>
        <v>27779</v>
      </c>
      <c r="E31" s="11" t="str">
        <f>""</f>
        <v/>
      </c>
      <c r="F31" s="11" t="str">
        <f t="shared" si="0"/>
        <v>372418</v>
      </c>
      <c r="G31" s="11" t="str">
        <f t="shared" si="1"/>
        <v>2017toJAN</v>
      </c>
      <c r="H31" s="11" t="str">
        <f t="shared" si="2"/>
        <v>CRSP06B</v>
      </c>
      <c r="I31" s="11" t="str">
        <f t="shared" si="3"/>
        <v>34</v>
      </c>
      <c r="J31" s="11" t="str">
        <f t="shared" si="4"/>
        <v>Creditor</v>
      </c>
      <c r="K31" s="11" t="str">
        <f>"CS002818"</f>
        <v>CS002818</v>
      </c>
      <c r="L31" s="10" t="str">
        <f>"APC Cleaning &amp; Maintenance Services Ltd"</f>
        <v>APC Cleaning &amp; Maintenance Services Ltd</v>
      </c>
      <c r="M31" s="12" t="str">
        <f>"27/01/2017 00:00:00"</f>
        <v>27/01/2017 00:00:00</v>
      </c>
      <c r="N31" s="12">
        <v>42762</v>
      </c>
      <c r="O31" s="10" t="str">
        <f>"C007987"</f>
        <v>C007987</v>
      </c>
      <c r="P31" s="13">
        <v>138</v>
      </c>
      <c r="Q31" s="11" t="str">
        <f>"138.0000"</f>
        <v>138.0000</v>
      </c>
      <c r="R31" s="10" t="str">
        <f>"C0004625"</f>
        <v>C0004625</v>
      </c>
      <c r="S31" s="14" t="str">
        <f>"660.0000"</f>
        <v>660.0000</v>
      </c>
      <c r="T31" s="10">
        <v>29510</v>
      </c>
      <c r="U31" s="10">
        <v>1271</v>
      </c>
      <c r="V31" s="10" t="str">
        <f>"Cleaning &amp; domestic supplies"</f>
        <v>Cleaning &amp; domestic supplies</v>
      </c>
      <c r="W31" s="10" t="str">
        <f>"Premises Related Expenditure"</f>
        <v>Premises Related Expenditure</v>
      </c>
      <c r="X31" s="10" t="str">
        <f>VLOOKUP(U31,'[1]Account code lookup'!A:B,2,0)</f>
        <v>Contract Cleaning</v>
      </c>
      <c r="Z31" s="10" t="str">
        <f>"Regeneration and Housing"</f>
        <v>Regeneration and Housing</v>
      </c>
      <c r="AA31" s="10" t="str">
        <f>"Commercial Development"</f>
        <v>Commercial Development</v>
      </c>
      <c r="AB31" s="10" t="str">
        <f>"2cdb"</f>
        <v>2cdb</v>
      </c>
      <c r="AD31" s="10" t="str">
        <f>"cdb02"</f>
        <v>cdb02</v>
      </c>
      <c r="AE31" s="10" t="str">
        <f>"Regeneration &amp; Housing / Delivery Team"</f>
        <v>Regeneration &amp; Housing / Delivery Team</v>
      </c>
      <c r="AG31" s="10" t="str">
        <f>"29510/1271"</f>
        <v>29510/1271</v>
      </c>
      <c r="AI31" s="10" t="str">
        <f>"12prem"</f>
        <v>12prem</v>
      </c>
      <c r="AJ31" s="15" t="str">
        <f>"THE ORCHARD_x000D_
2 x gardening and 1 x hedge				_x000D_
Invoice: 297890"</f>
        <v>THE ORCHARD_x000D_
2 x gardening and 1 x hedge				_x000D_
Invoice: 297890</v>
      </c>
      <c r="AK31" s="10" t="str">
        <f t="shared" si="23"/>
        <v>Revenue</v>
      </c>
      <c r="AL31" s="10" t="str">
        <f>""</f>
        <v/>
      </c>
      <c r="AM31" s="10" t="str">
        <f>""</f>
        <v/>
      </c>
      <c r="AN31" s="10" t="str">
        <f>""</f>
        <v/>
      </c>
      <c r="AO31" s="10" t="str">
        <f>""</f>
        <v/>
      </c>
    </row>
    <row r="32" spans="1:41" s="10" customFormat="1">
      <c r="A32" s="9"/>
      <c r="B32" s="9"/>
      <c r="C32" s="9"/>
      <c r="D32" s="10" t="str">
        <f>"28592"</f>
        <v>28592</v>
      </c>
      <c r="E32" s="11" t="str">
        <f>""</f>
        <v/>
      </c>
      <c r="F32" s="11" t="str">
        <f t="shared" si="0"/>
        <v>372418</v>
      </c>
      <c r="G32" s="11" t="str">
        <f t="shared" si="1"/>
        <v>2017toJAN</v>
      </c>
      <c r="H32" s="11" t="str">
        <f t="shared" si="2"/>
        <v>CRSP06B</v>
      </c>
      <c r="I32" s="11" t="str">
        <f t="shared" si="3"/>
        <v>34</v>
      </c>
      <c r="J32" s="11" t="str">
        <f t="shared" si="4"/>
        <v>Creditor</v>
      </c>
      <c r="K32" s="11" t="str">
        <f>"CS000952"</f>
        <v>CS000952</v>
      </c>
      <c r="L32" s="10" t="str">
        <f>"Ardley Boarding Kennels"</f>
        <v>Ardley Boarding Kennels</v>
      </c>
      <c r="M32" s="12" t="str">
        <f>"13/01/2017 00:00:00"</f>
        <v>13/01/2017 00:00:00</v>
      </c>
      <c r="N32" s="12">
        <v>42748</v>
      </c>
      <c r="O32" s="10" t="str">
        <f>"C007647"</f>
        <v>C007647</v>
      </c>
      <c r="P32" s="13">
        <v>1809.5</v>
      </c>
      <c r="Q32" s="11" t="str">
        <f>"1809.5000"</f>
        <v>1809.5000</v>
      </c>
      <c r="R32" s="10" t="str">
        <f>"C0004405"</f>
        <v>C0004405</v>
      </c>
      <c r="S32" s="14" t="str">
        <f>"1809.5000"</f>
        <v>1809.5000</v>
      </c>
      <c r="T32" s="10">
        <v>25510</v>
      </c>
      <c r="U32" s="10">
        <v>1483</v>
      </c>
      <c r="V32" s="10" t="str">
        <f>"Services"</f>
        <v>Services</v>
      </c>
      <c r="W32" s="10" t="str">
        <f>"Supplies and Services"</f>
        <v>Supplies and Services</v>
      </c>
      <c r="X32" s="10" t="str">
        <f>VLOOKUP(U32,'[1]Account code lookup'!A:B,2,0)</f>
        <v>Dog Collection</v>
      </c>
      <c r="Z32" s="10" t="str">
        <f>"Environmental Services"</f>
        <v>Environmental Services</v>
      </c>
      <c r="AA32" s="10" t="str">
        <f>"Operations and Delivery"</f>
        <v>Operations and Delivery</v>
      </c>
      <c r="AB32" s="10" t="str">
        <f>"5oad"</f>
        <v>5oad</v>
      </c>
      <c r="AD32" s="10" t="str">
        <f>"oad02"</f>
        <v>oad02</v>
      </c>
      <c r="AE32" s="10" t="str">
        <f>"Finance &amp; Procurement / Head of Finance &amp; Procurement"</f>
        <v>Finance &amp; Procurement / Head of Finance &amp; Procurement</v>
      </c>
      <c r="AG32" s="10" t="str">
        <f>"25510/1483"</f>
        <v>25510/1483</v>
      </c>
      <c r="AI32" s="10" t="str">
        <f>"14suse"</f>
        <v>14suse</v>
      </c>
      <c r="AJ32" s="15" t="str">
        <f>"Kennelling Fees for April 2016 - March 2017"</f>
        <v>Kennelling Fees for April 2016 - March 2017</v>
      </c>
      <c r="AK32" s="10" t="str">
        <f t="shared" si="23"/>
        <v>Revenue</v>
      </c>
      <c r="AL32" s="10" t="str">
        <f>""</f>
        <v/>
      </c>
      <c r="AM32" s="10" t="str">
        <f>""</f>
        <v/>
      </c>
      <c r="AN32" s="10" t="str">
        <f>""</f>
        <v/>
      </c>
      <c r="AO32" s="10" t="str">
        <f>""</f>
        <v/>
      </c>
    </row>
    <row r="33" spans="1:41" s="10" customFormat="1">
      <c r="A33" s="9"/>
      <c r="B33" s="9"/>
      <c r="C33" s="9"/>
      <c r="D33" s="10" t="str">
        <f>"28620"</f>
        <v>28620</v>
      </c>
      <c r="E33" s="11" t="str">
        <f>""</f>
        <v/>
      </c>
      <c r="F33" s="11" t="str">
        <f t="shared" si="0"/>
        <v>372418</v>
      </c>
      <c r="G33" s="11" t="str">
        <f t="shared" si="1"/>
        <v>2017toJAN</v>
      </c>
      <c r="H33" s="11" t="str">
        <f t="shared" si="2"/>
        <v>CRSP06B</v>
      </c>
      <c r="I33" s="11" t="str">
        <f t="shared" si="3"/>
        <v>34</v>
      </c>
      <c r="J33" s="11" t="str">
        <f t="shared" si="4"/>
        <v>Creditor</v>
      </c>
      <c r="K33" s="11" t="str">
        <f>"CS002929"</f>
        <v>CS002929</v>
      </c>
      <c r="L33" s="10" t="str">
        <f>"Arianne Design Studio Ltd"</f>
        <v>Arianne Design Studio Ltd</v>
      </c>
      <c r="M33" s="12" t="str">
        <f>"10/01/2017 00:00:00"</f>
        <v>10/01/2017 00:00:00</v>
      </c>
      <c r="N33" s="12">
        <v>42745</v>
      </c>
      <c r="O33" s="10" t="str">
        <f>"C007642"</f>
        <v>C007642</v>
      </c>
      <c r="P33" s="13">
        <v>1805.25</v>
      </c>
      <c r="Q33" s="11" t="str">
        <f>"1805.2500"</f>
        <v>1805.2500</v>
      </c>
      <c r="R33" s="10" t="str">
        <f>"059222"</f>
        <v>059222</v>
      </c>
      <c r="S33" s="14" t="str">
        <f>"1805.2500"</f>
        <v>1805.2500</v>
      </c>
      <c r="T33" s="10">
        <v>28307</v>
      </c>
      <c r="U33" s="10">
        <v>1721</v>
      </c>
      <c r="V33" s="10" t="str">
        <f>"Private Contractors"</f>
        <v>Private Contractors</v>
      </c>
      <c r="W33" s="10" t="str">
        <f>"Third Party Payments"</f>
        <v>Third Party Payments</v>
      </c>
      <c r="X33" s="10" t="str">
        <f>VLOOKUP(U33,'[1]Account code lookup'!A:B,2,0)</f>
        <v>Management Fees</v>
      </c>
      <c r="Z33" s="10" t="str">
        <f>"Regeneration and Housing"</f>
        <v>Regeneration and Housing</v>
      </c>
      <c r="AA33" s="10" t="str">
        <f>"Commercial Development"</f>
        <v>Commercial Development</v>
      </c>
      <c r="AB33" s="10" t="str">
        <f>"2cdb"</f>
        <v>2cdb</v>
      </c>
      <c r="AD33" s="10" t="str">
        <f>"cdb02"</f>
        <v>cdb02</v>
      </c>
      <c r="AE33" s="10" t="str">
        <f>"Regeneration &amp; Housing / Delivery Team"</f>
        <v>Regeneration &amp; Housing / Delivery Team</v>
      </c>
      <c r="AG33" s="10" t="str">
        <f>"28307/1721"</f>
        <v>28307/1721</v>
      </c>
      <c r="AI33" s="10" t="str">
        <f>"17tpp"</f>
        <v>17tpp</v>
      </c>
      <c r="AJ33" s="15" t="str">
        <f>"Concierge services - Town Centre House_x000D_
annual"</f>
        <v>Concierge services - Town Centre House_x000D_
annual</v>
      </c>
      <c r="AK33" s="10" t="str">
        <f t="shared" si="23"/>
        <v>Revenue</v>
      </c>
      <c r="AL33" s="10" t="str">
        <f>""</f>
        <v/>
      </c>
      <c r="AM33" s="10" t="str">
        <f>""</f>
        <v/>
      </c>
      <c r="AN33" s="10" t="str">
        <f>""</f>
        <v/>
      </c>
      <c r="AO33" s="10" t="str">
        <f>""</f>
        <v/>
      </c>
    </row>
    <row r="34" spans="1:41" s="10" customFormat="1">
      <c r="A34" s="9"/>
      <c r="B34" s="9"/>
      <c r="C34" s="9"/>
      <c r="D34" s="10" t="str">
        <f>"28621"</f>
        <v>28621</v>
      </c>
      <c r="E34" s="11" t="str">
        <f>""</f>
        <v/>
      </c>
      <c r="F34" s="11" t="str">
        <f t="shared" si="0"/>
        <v>372418</v>
      </c>
      <c r="G34" s="11" t="str">
        <f t="shared" si="1"/>
        <v>2017toJAN</v>
      </c>
      <c r="H34" s="11" t="str">
        <f t="shared" si="2"/>
        <v>CRSP06B</v>
      </c>
      <c r="I34" s="11" t="str">
        <f t="shared" si="3"/>
        <v>34</v>
      </c>
      <c r="J34" s="11" t="str">
        <f t="shared" si="4"/>
        <v>Creditor</v>
      </c>
      <c r="K34" s="11" t="str">
        <f>"CS003130"</f>
        <v>CS003130</v>
      </c>
      <c r="L34" s="10" t="str">
        <f>"Artio Ltd"</f>
        <v>Artio Ltd</v>
      </c>
      <c r="M34" s="12" t="str">
        <f>"26/01/2017 00:00:00"</f>
        <v>26/01/2017 00:00:00</v>
      </c>
      <c r="N34" s="12">
        <v>42761</v>
      </c>
      <c r="O34" s="10" t="str">
        <f>"C008008"</f>
        <v>C008008</v>
      </c>
      <c r="P34" s="13">
        <v>770</v>
      </c>
      <c r="Q34" s="11" t="str">
        <f>"770.0000"</f>
        <v>770.0000</v>
      </c>
      <c r="R34" s="10" t="str">
        <f>"059277"</f>
        <v>059277</v>
      </c>
      <c r="S34" s="14" t="str">
        <f>"770.0000"</f>
        <v>770.0000</v>
      </c>
      <c r="T34" s="10">
        <v>29110</v>
      </c>
      <c r="U34" s="10">
        <v>3341</v>
      </c>
      <c r="V34" s="10" t="str">
        <f>"Other Customer &amp; Client Income"</f>
        <v>Other Customer &amp; Client Income</v>
      </c>
      <c r="W34" s="10" t="str">
        <f>"Fees and Charges"</f>
        <v>Fees and Charges</v>
      </c>
      <c r="X34" s="10" t="str">
        <f>VLOOKUP(U34,'[1]Account code lookup'!A:B,2,0)</f>
        <v>Planning  - Application Fees</v>
      </c>
      <c r="Z34" s="10" t="str">
        <f>"Development Management"</f>
        <v>Development Management</v>
      </c>
      <c r="AA34" s="10" t="str">
        <f>"Strategy and Commissioning"</f>
        <v>Strategy and Commissioning</v>
      </c>
      <c r="AB34" s="10" t="str">
        <f>"4sac"</f>
        <v>4sac</v>
      </c>
      <c r="AD34" s="10" t="str">
        <f>"sac02"</f>
        <v>sac02</v>
      </c>
      <c r="AE34" s="10" t="str">
        <f>"Development Management / Development Management"</f>
        <v>Development Management / Development Management</v>
      </c>
      <c r="AG34" s="10" t="str">
        <f>"29110/3341"</f>
        <v>29110/3341</v>
      </c>
      <c r="AI34" s="10" t="str">
        <f>"33fees"</f>
        <v>33fees</v>
      </c>
      <c r="AJ34" s="15" t="str">
        <f>""</f>
        <v/>
      </c>
      <c r="AK34" s="10" t="str">
        <f t="shared" si="23"/>
        <v>Revenue</v>
      </c>
      <c r="AL34" s="10" t="str">
        <f>""</f>
        <v/>
      </c>
      <c r="AM34" s="10" t="str">
        <f>""</f>
        <v/>
      </c>
      <c r="AN34" s="10" t="str">
        <f>""</f>
        <v/>
      </c>
      <c r="AO34" s="10" t="str">
        <f>""</f>
        <v/>
      </c>
    </row>
    <row r="35" spans="1:41" s="10" customFormat="1">
      <c r="A35" s="9"/>
      <c r="B35" s="9"/>
      <c r="C35" s="9"/>
      <c r="D35" s="10" t="str">
        <f>"29439"</f>
        <v>29439</v>
      </c>
      <c r="E35" s="11" t="str">
        <f>""</f>
        <v/>
      </c>
      <c r="F35" s="11" t="str">
        <f t="shared" si="0"/>
        <v>372418</v>
      </c>
      <c r="G35" s="11" t="str">
        <f t="shared" si="1"/>
        <v>2017toJAN</v>
      </c>
      <c r="H35" s="11" t="str">
        <f t="shared" si="2"/>
        <v>CRSP06B</v>
      </c>
      <c r="I35" s="11" t="str">
        <f t="shared" si="3"/>
        <v>34</v>
      </c>
      <c r="J35" s="11" t="str">
        <f t="shared" si="4"/>
        <v>Creditor</v>
      </c>
      <c r="K35" s="11" t="str">
        <f>"CS000771"</f>
        <v>CS000771</v>
      </c>
      <c r="L35" s="10" t="str">
        <f>"Atlas (UK) Ltd"</f>
        <v>Atlas (UK) Ltd</v>
      </c>
      <c r="M35" s="12" t="str">
        <f>"11/01/2017 00:00:00"</f>
        <v>11/01/2017 00:00:00</v>
      </c>
      <c r="N35" s="12">
        <v>42746</v>
      </c>
      <c r="O35" s="10" t="str">
        <f>"C007532"</f>
        <v>C007532</v>
      </c>
      <c r="P35" s="13">
        <v>595</v>
      </c>
      <c r="Q35" s="11" t="str">
        <f>"595.0000"</f>
        <v>595.0000</v>
      </c>
      <c r="R35" s="10" t="str">
        <f>"C0004353"</f>
        <v>C0004353</v>
      </c>
      <c r="S35" s="14" t="str">
        <f>"714.0000"</f>
        <v>714.0000</v>
      </c>
      <c r="T35" s="10">
        <v>26001</v>
      </c>
      <c r="U35" s="10">
        <v>1487</v>
      </c>
      <c r="V35" s="10" t="str">
        <f>"Services"</f>
        <v>Services</v>
      </c>
      <c r="W35" s="10" t="str">
        <f>"Supplies and Services"</f>
        <v>Supplies and Services</v>
      </c>
      <c r="X35" s="10" t="str">
        <f>VLOOKUP(U35,'[1]Account code lookup'!A:B,2,0)</f>
        <v>Advertising</v>
      </c>
      <c r="Z35" s="10" t="str">
        <f>"Environmental Services"</f>
        <v>Environmental Services</v>
      </c>
      <c r="AA35" s="10" t="str">
        <f>"Operations and Delivery"</f>
        <v>Operations and Delivery</v>
      </c>
      <c r="AB35" s="10" t="str">
        <f>"5oad"</f>
        <v>5oad</v>
      </c>
      <c r="AD35" s="10" t="str">
        <f>"oad02"</f>
        <v>oad02</v>
      </c>
      <c r="AE35" s="10" t="str">
        <f>"Environmental Services / Environmental Services Admin"</f>
        <v>Environmental Services / Environmental Services Admin</v>
      </c>
      <c r="AG35" s="10" t="str">
        <f>"26001/1487"</f>
        <v>26001/1487</v>
      </c>
      <c r="AI35" s="10" t="str">
        <f>"14suse"</f>
        <v>14suse</v>
      </c>
      <c r="AJ35" s="15" t="str">
        <f>"Bicester Permanent Boards"</f>
        <v>Bicester Permanent Boards</v>
      </c>
      <c r="AK35" s="10" t="str">
        <f t="shared" si="23"/>
        <v>Revenue</v>
      </c>
      <c r="AL35" s="10" t="str">
        <f>""</f>
        <v/>
      </c>
      <c r="AM35" s="10" t="str">
        <f>""</f>
        <v/>
      </c>
      <c r="AN35" s="10" t="str">
        <f>""</f>
        <v/>
      </c>
      <c r="AO35" s="10" t="str">
        <f>""</f>
        <v/>
      </c>
    </row>
    <row r="36" spans="1:41" s="10" customFormat="1">
      <c r="A36" s="9"/>
      <c r="B36" s="9"/>
      <c r="C36" s="9"/>
      <c r="D36" s="10" t="str">
        <f>"29493"</f>
        <v>29493</v>
      </c>
      <c r="E36" s="11" t="str">
        <f>""</f>
        <v/>
      </c>
      <c r="F36" s="11" t="str">
        <f t="shared" si="0"/>
        <v>372418</v>
      </c>
      <c r="G36" s="11" t="str">
        <f t="shared" si="1"/>
        <v>2017toJAN</v>
      </c>
      <c r="H36" s="11" t="str">
        <f t="shared" si="2"/>
        <v>CRSP06B</v>
      </c>
      <c r="I36" s="11" t="str">
        <f t="shared" si="3"/>
        <v>34</v>
      </c>
      <c r="J36" s="11" t="str">
        <f t="shared" si="4"/>
        <v>Creditor</v>
      </c>
      <c r="K36" s="11" t="str">
        <f>"CS000786"</f>
        <v>CS000786</v>
      </c>
      <c r="L36" s="10" t="str">
        <f>"B T plc"</f>
        <v>B T plc</v>
      </c>
      <c r="M36" s="12" t="str">
        <f>"20/01/2017 00:00:00"</f>
        <v>20/01/2017 00:00:00</v>
      </c>
      <c r="N36" s="12">
        <v>42755</v>
      </c>
      <c r="O36" s="10" t="str">
        <f>"C008003"</f>
        <v>C008003</v>
      </c>
      <c r="P36" s="13">
        <v>852.98</v>
      </c>
      <c r="Q36" s="11" t="str">
        <f>"852.9800"</f>
        <v>852.9800</v>
      </c>
      <c r="R36" s="10" t="str">
        <f>"C0004494"</f>
        <v>C0004494</v>
      </c>
      <c r="S36" s="14" t="str">
        <f>"1023.5700"</f>
        <v>1023.5700</v>
      </c>
      <c r="T36" s="10">
        <v>21733</v>
      </c>
      <c r="U36" s="10">
        <v>1511</v>
      </c>
      <c r="V36" s="10" t="str">
        <f>"Communications and computing"</f>
        <v>Communications and computing</v>
      </c>
      <c r="W36" s="10" t="str">
        <f>"Supplies and Services"</f>
        <v>Supplies and Services</v>
      </c>
      <c r="X36" s="10" t="str">
        <f>VLOOKUP(U36,'[1]Account code lookup'!A:B,2,0)</f>
        <v>Telephone Rentals &amp; Calls Exps</v>
      </c>
      <c r="Z36" s="10" t="str">
        <f>"Information Services"</f>
        <v>Information Services</v>
      </c>
      <c r="AA36" s="10" t="str">
        <f>"Commercial Development"</f>
        <v>Commercial Development</v>
      </c>
      <c r="AB36" s="10" t="str">
        <f>"2cdb"</f>
        <v>2cdb</v>
      </c>
      <c r="AD36" s="10" t="str">
        <f>"cdb04"</f>
        <v>cdb04</v>
      </c>
      <c r="AE36" s="10" t="str">
        <f>"ICT / Information Services"</f>
        <v>ICT / Information Services</v>
      </c>
      <c r="AG36" s="10" t="str">
        <f>"21733/1511"</f>
        <v>21733/1511</v>
      </c>
      <c r="AI36" s="10" t="str">
        <f>"14suse"</f>
        <v>14suse</v>
      </c>
      <c r="AJ36" s="15" t="str">
        <f>""</f>
        <v/>
      </c>
      <c r="AK36" s="10" t="str">
        <f>"Revenue"</f>
        <v>Revenue</v>
      </c>
      <c r="AL36" s="10" t="str">
        <f>""</f>
        <v/>
      </c>
      <c r="AM36" s="10" t="str">
        <f>""</f>
        <v/>
      </c>
      <c r="AN36" s="10" t="str">
        <f>""</f>
        <v/>
      </c>
      <c r="AO36" s="10" t="str">
        <f>""</f>
        <v/>
      </c>
    </row>
    <row r="37" spans="1:41" s="10" customFormat="1" ht="409.6">
      <c r="A37" s="9"/>
      <c r="B37" s="9"/>
      <c r="C37" s="9"/>
      <c r="D37" s="10" t="str">
        <f>"29880"</f>
        <v>29880</v>
      </c>
      <c r="E37" s="11" t="str">
        <f>""</f>
        <v/>
      </c>
      <c r="F37" s="11" t="str">
        <f t="shared" si="0"/>
        <v>372418</v>
      </c>
      <c r="G37" s="11" t="str">
        <f t="shared" si="1"/>
        <v>2017toJAN</v>
      </c>
      <c r="H37" s="11" t="str">
        <f t="shared" si="2"/>
        <v>CRSP06B</v>
      </c>
      <c r="I37" s="11" t="str">
        <f t="shared" si="3"/>
        <v>34</v>
      </c>
      <c r="J37" s="11" t="str">
        <f t="shared" si="4"/>
        <v>Creditor</v>
      </c>
      <c r="K37" s="11" t="str">
        <f>"CS000792"</f>
        <v>CS000792</v>
      </c>
      <c r="L37" s="10" t="str">
        <f>"Baker Engineering"</f>
        <v>Baker Engineering</v>
      </c>
      <c r="M37" s="12" t="str">
        <f>"09/01/2017 00:00:00"</f>
        <v>09/01/2017 00:00:00</v>
      </c>
      <c r="N37" s="12">
        <v>42744</v>
      </c>
      <c r="O37" s="10" t="str">
        <f>"C007722"</f>
        <v>C007722</v>
      </c>
      <c r="P37" s="13">
        <v>655.32000000000005</v>
      </c>
      <c r="Q37" s="11" t="str">
        <f>"655.3200"</f>
        <v>655.3200</v>
      </c>
      <c r="R37" s="10" t="str">
        <f>"C0004328"</f>
        <v>C0004328</v>
      </c>
      <c r="S37" s="14" t="str">
        <f>"1267.0600"</f>
        <v>1267.0600</v>
      </c>
      <c r="T37" s="10">
        <v>25801</v>
      </c>
      <c r="U37" s="10">
        <v>1300</v>
      </c>
      <c r="V37" s="10" t="str">
        <f>"Direct transport costs"</f>
        <v>Direct transport costs</v>
      </c>
      <c r="W37" s="10" t="str">
        <f>"Transport Related Expenditure"</f>
        <v>Transport Related Expenditure</v>
      </c>
      <c r="X37" s="10" t="str">
        <f>VLOOKUP(U37,'[1]Account code lookup'!A:B,2,0)</f>
        <v>Vehicle Repair &amp; Maintenance</v>
      </c>
      <c r="Z37" s="10" t="str">
        <f>"Environmental Services"</f>
        <v>Environmental Services</v>
      </c>
      <c r="AA37" s="10" t="str">
        <f>"Operations and Delivery"</f>
        <v>Operations and Delivery</v>
      </c>
      <c r="AB37" s="10" t="str">
        <f>"5oad"</f>
        <v>5oad</v>
      </c>
      <c r="AD37" s="10" t="str">
        <f>"oad02"</f>
        <v>oad02</v>
      </c>
      <c r="AE37" s="10" t="str">
        <f>"Finance &amp; Procurement / Head of Finance &amp; Procurement"</f>
        <v>Finance &amp; Procurement / Head of Finance &amp; Procurement</v>
      </c>
      <c r="AG37" s="10" t="str">
        <f>"25801/1300"</f>
        <v>25801/1300</v>
      </c>
      <c r="AI37" s="10" t="str">
        <f>"13trans"</f>
        <v>13trans</v>
      </c>
      <c r="AJ37" s="15" t="str">
        <f>"Repairs &amp; Traffic Film Remover - Refuse"</f>
        <v>Repairs &amp; Traffic Film Remover - Refuse</v>
      </c>
      <c r="AK37" s="10" t="str">
        <f>"Revenue"</f>
        <v>Revenue</v>
      </c>
      <c r="AL37" s="10" t="str">
        <f>""</f>
        <v/>
      </c>
      <c r="AM37" s="10" t="str">
        <f>""</f>
        <v/>
      </c>
      <c r="AN37" s="10" t="str">
        <f>""</f>
        <v/>
      </c>
      <c r="AO37" s="10" t="str">
        <f>""</f>
        <v/>
      </c>
    </row>
    <row r="38" spans="1:41" s="10" customFormat="1" ht="409.6">
      <c r="A38" s="9"/>
      <c r="B38" s="9"/>
      <c r="C38" s="9"/>
      <c r="D38" s="10" t="str">
        <f>"30528"</f>
        <v>30528</v>
      </c>
      <c r="E38" s="11" t="str">
        <f>""</f>
        <v/>
      </c>
      <c r="F38" s="11" t="str">
        <f t="shared" si="0"/>
        <v>372418</v>
      </c>
      <c r="G38" s="11" t="str">
        <f t="shared" si="1"/>
        <v>2017toJAN</v>
      </c>
      <c r="H38" s="11" t="str">
        <f t="shared" si="2"/>
        <v>CRSP06B</v>
      </c>
      <c r="I38" s="11" t="str">
        <f t="shared" si="3"/>
        <v>34</v>
      </c>
      <c r="J38" s="11" t="str">
        <f t="shared" si="4"/>
        <v>Creditor</v>
      </c>
      <c r="K38" s="11" t="str">
        <f>"CS000792"</f>
        <v>CS000792</v>
      </c>
      <c r="L38" s="10" t="str">
        <f>"Baker Engineering"</f>
        <v>Baker Engineering</v>
      </c>
      <c r="M38" s="12" t="str">
        <f>"09/01/2017 00:00:00"</f>
        <v>09/01/2017 00:00:00</v>
      </c>
      <c r="N38" s="12">
        <v>42744</v>
      </c>
      <c r="O38" s="10" t="str">
        <f>"C007726"</f>
        <v>C007726</v>
      </c>
      <c r="P38" s="13">
        <v>108.68</v>
      </c>
      <c r="Q38" s="11" t="str">
        <f>"108.6800"</f>
        <v>108.6800</v>
      </c>
      <c r="R38" s="10" t="str">
        <f>"C0004328"</f>
        <v>C0004328</v>
      </c>
      <c r="S38" s="14" t="str">
        <f>"1267.0600"</f>
        <v>1267.0600</v>
      </c>
      <c r="T38" s="10">
        <v>25801</v>
      </c>
      <c r="U38" s="10">
        <v>1300</v>
      </c>
      <c r="V38" s="10" t="str">
        <f>"Direct transport costs"</f>
        <v>Direct transport costs</v>
      </c>
      <c r="W38" s="10" t="str">
        <f>"Transport Related Expenditure"</f>
        <v>Transport Related Expenditure</v>
      </c>
      <c r="X38" s="10" t="str">
        <f>VLOOKUP(U38,'[1]Account code lookup'!A:B,2,0)</f>
        <v>Vehicle Repair &amp; Maintenance</v>
      </c>
      <c r="Z38" s="10" t="str">
        <f>"Environmental Services"</f>
        <v>Environmental Services</v>
      </c>
      <c r="AA38" s="10" t="str">
        <f>"Operations and Delivery"</f>
        <v>Operations and Delivery</v>
      </c>
      <c r="AB38" s="10" t="str">
        <f>"5oad"</f>
        <v>5oad</v>
      </c>
      <c r="AD38" s="10" t="str">
        <f>"oad02"</f>
        <v>oad02</v>
      </c>
      <c r="AE38" s="10" t="str">
        <f>"Finance &amp; Procurement / Head of Finance &amp; Procurement"</f>
        <v>Finance &amp; Procurement / Head of Finance &amp; Procurement</v>
      </c>
      <c r="AG38" s="10" t="str">
        <f>"25801/1300"</f>
        <v>25801/1300</v>
      </c>
      <c r="AI38" s="10" t="str">
        <f>"13trans"</f>
        <v>13trans</v>
      </c>
      <c r="AJ38" s="15" t="str">
        <f>"Repairs &amp; Traffic Film Remover - Refuse"</f>
        <v>Repairs &amp; Traffic Film Remover - Refuse</v>
      </c>
      <c r="AK38" s="10" t="str">
        <f>"Revenue"</f>
        <v>Revenue</v>
      </c>
      <c r="AL38" s="10" t="str">
        <f>""</f>
        <v/>
      </c>
      <c r="AM38" s="10" t="str">
        <f>""</f>
        <v/>
      </c>
      <c r="AN38" s="10" t="str">
        <f>""</f>
        <v/>
      </c>
      <c r="AO38" s="10" t="str">
        <f>""</f>
        <v/>
      </c>
    </row>
    <row r="39" spans="1:41" s="10" customFormat="1" ht="409.6">
      <c r="A39" s="9"/>
      <c r="B39" s="9"/>
      <c r="C39" s="9"/>
      <c r="D39" s="10" t="str">
        <f>"30545"</f>
        <v>30545</v>
      </c>
      <c r="E39" s="11" t="str">
        <f>""</f>
        <v/>
      </c>
      <c r="F39" s="11" t="str">
        <f t="shared" si="0"/>
        <v>372418</v>
      </c>
      <c r="G39" s="11" t="str">
        <f t="shared" si="1"/>
        <v>2017toJAN</v>
      </c>
      <c r="H39" s="11" t="str">
        <f t="shared" si="2"/>
        <v>CRSP06B</v>
      </c>
      <c r="I39" s="11" t="str">
        <f t="shared" si="3"/>
        <v>34</v>
      </c>
      <c r="J39" s="11" t="str">
        <f t="shared" si="4"/>
        <v>Creditor</v>
      </c>
      <c r="K39" s="11" t="str">
        <f>"CS000792"</f>
        <v>CS000792</v>
      </c>
      <c r="L39" s="10" t="str">
        <f>"Baker Engineering"</f>
        <v>Baker Engineering</v>
      </c>
      <c r="M39" s="12" t="str">
        <f>"09/01/2017 00:00:00"</f>
        <v>09/01/2017 00:00:00</v>
      </c>
      <c r="N39" s="12">
        <v>42744</v>
      </c>
      <c r="O39" s="10" t="str">
        <f>"C007727"</f>
        <v>C007727</v>
      </c>
      <c r="P39" s="13">
        <v>291.89</v>
      </c>
      <c r="Q39" s="11" t="str">
        <f>"291.8900"</f>
        <v>291.8900</v>
      </c>
      <c r="R39" s="10" t="str">
        <f>"C0004328"</f>
        <v>C0004328</v>
      </c>
      <c r="S39" s="14" t="str">
        <f>"1267.0600"</f>
        <v>1267.0600</v>
      </c>
      <c r="T39" s="10">
        <v>25801</v>
      </c>
      <c r="U39" s="10">
        <v>1300</v>
      </c>
      <c r="V39" s="10" t="str">
        <f>"Direct transport costs"</f>
        <v>Direct transport costs</v>
      </c>
      <c r="W39" s="10" t="str">
        <f>"Transport Related Expenditure"</f>
        <v>Transport Related Expenditure</v>
      </c>
      <c r="X39" s="10" t="str">
        <f>VLOOKUP(U39,'[1]Account code lookup'!A:B,2,0)</f>
        <v>Vehicle Repair &amp; Maintenance</v>
      </c>
      <c r="Z39" s="10" t="str">
        <f>"Environmental Services"</f>
        <v>Environmental Services</v>
      </c>
      <c r="AA39" s="10" t="str">
        <f>"Operations and Delivery"</f>
        <v>Operations and Delivery</v>
      </c>
      <c r="AB39" s="10" t="str">
        <f>"5oad"</f>
        <v>5oad</v>
      </c>
      <c r="AD39" s="10" t="str">
        <f>"oad02"</f>
        <v>oad02</v>
      </c>
      <c r="AE39" s="10" t="str">
        <f>"Finance &amp; Procurement / Head of Finance &amp; Procurement"</f>
        <v>Finance &amp; Procurement / Head of Finance &amp; Procurement</v>
      </c>
      <c r="AG39" s="10" t="str">
        <f>"25801/1300"</f>
        <v>25801/1300</v>
      </c>
      <c r="AI39" s="10" t="str">
        <f>"13trans"</f>
        <v>13trans</v>
      </c>
      <c r="AJ39" s="15" t="str">
        <f>"Repairs &amp; Traffic Film Remover - Refuse"</f>
        <v>Repairs &amp; Traffic Film Remover - Refuse</v>
      </c>
      <c r="AK39" s="10" t="str">
        <f>"Revenue"</f>
        <v>Revenue</v>
      </c>
      <c r="AL39" s="10" t="str">
        <f>""</f>
        <v/>
      </c>
      <c r="AM39" s="10" t="str">
        <f>""</f>
        <v/>
      </c>
      <c r="AN39" s="10" t="str">
        <f>""</f>
        <v/>
      </c>
      <c r="AO39" s="10" t="str">
        <f>""</f>
        <v/>
      </c>
    </row>
    <row r="40" spans="1:41" s="10" customFormat="1" ht="409.6">
      <c r="A40" s="9"/>
      <c r="B40" s="9"/>
      <c r="C40" s="9"/>
      <c r="D40" s="10" t="str">
        <f>"30887"</f>
        <v>30887</v>
      </c>
      <c r="E40" s="11" t="str">
        <f>""</f>
        <v/>
      </c>
      <c r="F40" s="11" t="str">
        <f t="shared" si="0"/>
        <v>372418</v>
      </c>
      <c r="G40" s="11" t="str">
        <f t="shared" si="1"/>
        <v>2017toJAN</v>
      </c>
      <c r="H40" s="11" t="str">
        <f t="shared" si="2"/>
        <v>CRSP06B</v>
      </c>
      <c r="I40" s="11" t="str">
        <f t="shared" si="3"/>
        <v>34</v>
      </c>
      <c r="J40" s="11" t="str">
        <f t="shared" si="4"/>
        <v>Creditor</v>
      </c>
      <c r="K40" s="11" t="str">
        <f>"CS000803"</f>
        <v>CS000803</v>
      </c>
      <c r="L40" s="10" t="str">
        <f>"Banbury Citizens Advice Bureau"</f>
        <v>Banbury Citizens Advice Bureau</v>
      </c>
      <c r="M40" s="12" t="str">
        <f>"11/01/2017 00:00:00"</f>
        <v>11/01/2017 00:00:00</v>
      </c>
      <c r="N40" s="12">
        <v>42746</v>
      </c>
      <c r="O40" s="10" t="str">
        <f>"C007752"</f>
        <v>C007752</v>
      </c>
      <c r="P40" s="13">
        <v>63022.25</v>
      </c>
      <c r="Q40" s="11" t="str">
        <f>"63022.2500"</f>
        <v>63022.2500</v>
      </c>
      <c r="R40" s="10" t="str">
        <f>"C0004355"</f>
        <v>C0004355</v>
      </c>
      <c r="S40" s="14" t="str">
        <f>"84029.5000"</f>
        <v>84029.5000</v>
      </c>
      <c r="T40" s="10">
        <v>28305</v>
      </c>
      <c r="U40" s="10">
        <v>1580</v>
      </c>
      <c r="V40" s="10" t="str">
        <f>"Grants and subscriptions"</f>
        <v>Grants and subscriptions</v>
      </c>
      <c r="W40" s="10" t="str">
        <f>"Supplies and Services"</f>
        <v>Supplies and Services</v>
      </c>
      <c r="X40" s="10" t="str">
        <f>VLOOKUP(U40,'[1]Account code lookup'!A:B,2,0)</f>
        <v>Grants</v>
      </c>
      <c r="Z40" s="10" t="str">
        <f>"Regeneration and Housing"</f>
        <v>Regeneration and Housing</v>
      </c>
      <c r="AA40" s="10" t="str">
        <f>"Commercial Development"</f>
        <v>Commercial Development</v>
      </c>
      <c r="AB40" s="10" t="str">
        <f>"2cdb"</f>
        <v>2cdb</v>
      </c>
      <c r="AD40" s="10" t="str">
        <f>"cdb02"</f>
        <v>cdb02</v>
      </c>
      <c r="AE40" s="10" t="str">
        <f>"Regeneration &amp; Housing / Housing Needs"</f>
        <v>Regeneration &amp; Housing / Housing Needs</v>
      </c>
      <c r="AG40" s="10" t="str">
        <f>"28305/1580"</f>
        <v>28305/1580</v>
      </c>
      <c r="AI40" s="10" t="str">
        <f>"14suse"</f>
        <v>14suse</v>
      </c>
      <c r="AJ40" s="15" t="str">
        <f>"CAB contract for debt and money advice for Banbury (£68,064 per 6 months), Bicester (£35,292.50 per 6 months) and Kidlington (£22,688 per 6 months)"</f>
        <v>CAB contract for debt and money advice for Banbury (£68,064 per 6 months), Bicester (£35,292.50 per 6 months) and Kidlington (£22,688 per 6 months)</v>
      </c>
      <c r="AK40" s="10" t="str">
        <f t="shared" ref="AK40:AK56" si="24">"Revenue"</f>
        <v>Revenue</v>
      </c>
      <c r="AL40" s="10" t="str">
        <f>""</f>
        <v/>
      </c>
      <c r="AM40" s="10" t="str">
        <f>""</f>
        <v/>
      </c>
      <c r="AN40" s="10" t="str">
        <f>""</f>
        <v/>
      </c>
      <c r="AO40" s="10" t="str">
        <f>""</f>
        <v/>
      </c>
    </row>
    <row r="41" spans="1:41" s="10" customFormat="1" ht="409.6">
      <c r="A41" s="9"/>
      <c r="B41" s="9"/>
      <c r="C41" s="9"/>
      <c r="D41" s="10" t="str">
        <f>"30888"</f>
        <v>30888</v>
      </c>
      <c r="E41" s="11" t="str">
        <f>""</f>
        <v/>
      </c>
      <c r="F41" s="11" t="str">
        <f t="shared" si="0"/>
        <v>372418</v>
      </c>
      <c r="G41" s="11" t="str">
        <f t="shared" si="1"/>
        <v>2017toJAN</v>
      </c>
      <c r="H41" s="11" t="str">
        <f t="shared" si="2"/>
        <v>CRSP06B</v>
      </c>
      <c r="I41" s="11" t="str">
        <f t="shared" si="3"/>
        <v>34</v>
      </c>
      <c r="J41" s="11" t="str">
        <f t="shared" si="4"/>
        <v>Creditor</v>
      </c>
      <c r="K41" s="11" t="str">
        <f>"CS000803"</f>
        <v>CS000803</v>
      </c>
      <c r="L41" s="10" t="str">
        <f>"Banbury Citizens Advice Bureau"</f>
        <v>Banbury Citizens Advice Bureau</v>
      </c>
      <c r="M41" s="12" t="str">
        <f>"11/01/2017 00:00:00"</f>
        <v>11/01/2017 00:00:00</v>
      </c>
      <c r="N41" s="12">
        <v>42746</v>
      </c>
      <c r="O41" s="10" t="str">
        <f>"C007327"</f>
        <v>C007327</v>
      </c>
      <c r="P41" s="13">
        <v>8402.75</v>
      </c>
      <c r="Q41" s="11" t="str">
        <f>"8402.7500"</f>
        <v>8402.7500</v>
      </c>
      <c r="R41" s="10" t="str">
        <f>"C0004355"</f>
        <v>C0004355</v>
      </c>
      <c r="S41" s="14" t="str">
        <f>"84029.5000"</f>
        <v>84029.5000</v>
      </c>
      <c r="T41" s="10">
        <v>29700</v>
      </c>
      <c r="U41" s="10">
        <v>1721</v>
      </c>
      <c r="V41" s="10" t="str">
        <f>"Private Contractors"</f>
        <v>Private Contractors</v>
      </c>
      <c r="W41" s="10" t="str">
        <f>"Third Party Payments"</f>
        <v>Third Party Payments</v>
      </c>
      <c r="X41" s="10" t="str">
        <f>VLOOKUP(U41,'[1]Account code lookup'!A:B,2,0)</f>
        <v>Management Fees</v>
      </c>
      <c r="Z41" s="10" t="str">
        <f>"Community Services"</f>
        <v>Community Services</v>
      </c>
      <c r="AA41" s="10" t="str">
        <f t="shared" ref="AA41:AA46" si="25">"Operations and Delivery"</f>
        <v>Operations and Delivery</v>
      </c>
      <c r="AB41" s="10" t="str">
        <f t="shared" ref="AB41:AB46" si="26">"5oad"</f>
        <v>5oad</v>
      </c>
      <c r="AD41" s="10" t="str">
        <f>"oad01"</f>
        <v>oad01</v>
      </c>
      <c r="AE41" s="10" t="str">
        <f>"Finance &amp; Procurement / Head of Finance &amp; Procurement"</f>
        <v>Finance &amp; Procurement / Head of Finance &amp; Procurement</v>
      </c>
      <c r="AG41" s="10" t="str">
        <f>"29700/1721"</f>
        <v>29700/1721</v>
      </c>
      <c r="AI41" s="10" t="str">
        <f>"17tpp"</f>
        <v>17tpp</v>
      </c>
      <c r="AJ41" s="15" t="str">
        <f>"CA provision of services for Banbury, Bicester and Kidlington for the period 1 October 2016 to 31 March 2017 Volunteering Car Driving 2016/17 Quarters 3 and 4 inclusive"</f>
        <v>CA provision of services for Banbury, Bicester and Kidlington for the period 1 October 2016 to 31 March 2017 Volunteering Car Driving 2016/17 Quarters 3 and 4 inclusive</v>
      </c>
      <c r="AK41" s="10" t="str">
        <f t="shared" si="24"/>
        <v>Revenue</v>
      </c>
      <c r="AL41" s="10" t="str">
        <f>""</f>
        <v/>
      </c>
      <c r="AM41" s="10" t="str">
        <f>""</f>
        <v/>
      </c>
      <c r="AN41" s="10" t="str">
        <f>""</f>
        <v/>
      </c>
      <c r="AO41" s="10" t="str">
        <f>""</f>
        <v/>
      </c>
    </row>
    <row r="42" spans="1:41" s="10" customFormat="1" ht="409.6">
      <c r="A42" s="9"/>
      <c r="B42" s="9"/>
      <c r="C42" s="9"/>
      <c r="D42" s="10" t="str">
        <f>"30934"</f>
        <v>30934</v>
      </c>
      <c r="E42" s="11" t="str">
        <f>""</f>
        <v/>
      </c>
      <c r="F42" s="11" t="str">
        <f t="shared" si="0"/>
        <v>372418</v>
      </c>
      <c r="G42" s="11" t="str">
        <f t="shared" si="1"/>
        <v>2017toJAN</v>
      </c>
      <c r="H42" s="11" t="str">
        <f t="shared" si="2"/>
        <v>CRSP06B</v>
      </c>
      <c r="I42" s="11" t="str">
        <f t="shared" si="3"/>
        <v>34</v>
      </c>
      <c r="J42" s="11" t="str">
        <f t="shared" si="4"/>
        <v>Creditor</v>
      </c>
      <c r="K42" s="11" t="str">
        <f>"CS000803"</f>
        <v>CS000803</v>
      </c>
      <c r="L42" s="10" t="str">
        <f>"Banbury Citizens Advice Bureau"</f>
        <v>Banbury Citizens Advice Bureau</v>
      </c>
      <c r="M42" s="12" t="str">
        <f>"11/01/2017 00:00:00"</f>
        <v>11/01/2017 00:00:00</v>
      </c>
      <c r="N42" s="12">
        <v>42746</v>
      </c>
      <c r="O42" s="10" t="str">
        <f>"C007327"</f>
        <v>C007327</v>
      </c>
      <c r="P42" s="13">
        <v>12604.5</v>
      </c>
      <c r="Q42" s="11" t="str">
        <f>"12604.5000"</f>
        <v>12604.5000</v>
      </c>
      <c r="R42" s="10" t="str">
        <f>"C0004355"</f>
        <v>C0004355</v>
      </c>
      <c r="S42" s="14" t="str">
        <f>"84029.5000"</f>
        <v>84029.5000</v>
      </c>
      <c r="T42" s="10">
        <v>29700</v>
      </c>
      <c r="U42" s="10">
        <v>1721</v>
      </c>
      <c r="V42" s="10" t="str">
        <f>"Private Contractors"</f>
        <v>Private Contractors</v>
      </c>
      <c r="W42" s="10" t="str">
        <f>"Third Party Payments"</f>
        <v>Third Party Payments</v>
      </c>
      <c r="X42" s="10" t="str">
        <f>VLOOKUP(U42,'[1]Account code lookup'!A:B,2,0)</f>
        <v>Management Fees</v>
      </c>
      <c r="Z42" s="10" t="str">
        <f>"Community Services"</f>
        <v>Community Services</v>
      </c>
      <c r="AA42" s="10" t="str">
        <f t="shared" si="25"/>
        <v>Operations and Delivery</v>
      </c>
      <c r="AB42" s="10" t="str">
        <f t="shared" si="26"/>
        <v>5oad</v>
      </c>
      <c r="AD42" s="10" t="str">
        <f>"oad01"</f>
        <v>oad01</v>
      </c>
      <c r="AE42" s="10" t="str">
        <f>"Finance &amp; Procurement / Head of Finance &amp; Procurement"</f>
        <v>Finance &amp; Procurement / Head of Finance &amp; Procurement</v>
      </c>
      <c r="AG42" s="10" t="str">
        <f>"29700/1721"</f>
        <v>29700/1721</v>
      </c>
      <c r="AI42" s="10" t="str">
        <f>"17tpp"</f>
        <v>17tpp</v>
      </c>
      <c r="AJ42" s="15" t="str">
        <f>"Volunteering Opportunities 2016/17 Quarters 3 and 4 inclusive"</f>
        <v>Volunteering Opportunities 2016/17 Quarters 3 and 4 inclusive</v>
      </c>
      <c r="AK42" s="10" t="str">
        <f t="shared" si="24"/>
        <v>Revenue</v>
      </c>
      <c r="AL42" s="10" t="str">
        <f>""</f>
        <v/>
      </c>
      <c r="AM42" s="10" t="str">
        <f>""</f>
        <v/>
      </c>
      <c r="AN42" s="10" t="str">
        <f>""</f>
        <v/>
      </c>
      <c r="AO42" s="10" t="str">
        <f>""</f>
        <v/>
      </c>
    </row>
    <row r="43" spans="1:41" s="10" customFormat="1" ht="409.6">
      <c r="A43" s="9"/>
      <c r="B43" s="9"/>
      <c r="C43" s="9"/>
      <c r="D43" s="10" t="str">
        <f>"30935"</f>
        <v>30935</v>
      </c>
      <c r="E43" s="11" t="str">
        <f>""</f>
        <v/>
      </c>
      <c r="F43" s="11" t="str">
        <f t="shared" si="0"/>
        <v>372418</v>
      </c>
      <c r="G43" s="11" t="str">
        <f t="shared" si="1"/>
        <v>2017toJAN</v>
      </c>
      <c r="H43" s="11" t="str">
        <f t="shared" si="2"/>
        <v>CRSP06B</v>
      </c>
      <c r="I43" s="11" t="str">
        <f t="shared" si="3"/>
        <v>34</v>
      </c>
      <c r="J43" s="11" t="str">
        <f t="shared" si="4"/>
        <v>Creditor</v>
      </c>
      <c r="K43" s="11" t="str">
        <f>"CS000807"</f>
        <v>CS000807</v>
      </c>
      <c r="L43" s="10" t="str">
        <f>"Banbury Health &amp; Wellbeing"</f>
        <v>Banbury Health &amp; Wellbeing</v>
      </c>
      <c r="M43" s="12" t="str">
        <f>"19/01/2017 00:00:00"</f>
        <v>19/01/2017 00:00:00</v>
      </c>
      <c r="N43" s="12">
        <v>42754</v>
      </c>
      <c r="O43" s="10" t="str">
        <f>"C007750"</f>
        <v>C007750</v>
      </c>
      <c r="P43" s="13">
        <v>750</v>
      </c>
      <c r="Q43" s="11" t="str">
        <f>"750.0000"</f>
        <v>750.0000</v>
      </c>
      <c r="R43" s="10" t="str">
        <f>"059244"</f>
        <v>059244</v>
      </c>
      <c r="S43" s="14" t="str">
        <f>"750.0000"</f>
        <v>750.0000</v>
      </c>
      <c r="T43" s="10">
        <v>24010</v>
      </c>
      <c r="U43" s="10">
        <v>1496</v>
      </c>
      <c r="V43" s="10" t="str">
        <f>"Services"</f>
        <v>Services</v>
      </c>
      <c r="W43" s="10" t="str">
        <f>"Supplies and Services"</f>
        <v>Supplies and Services</v>
      </c>
      <c r="X43" s="10" t="str">
        <f>VLOOKUP(U43,'[1]Account code lookup'!A:B,2,0)</f>
        <v>Activities (workshop fees)</v>
      </c>
      <c r="Z43" s="10" t="str">
        <f>"Community Services"</f>
        <v>Community Services</v>
      </c>
      <c r="AA43" s="10" t="str">
        <f t="shared" si="25"/>
        <v>Operations and Delivery</v>
      </c>
      <c r="AB43" s="10" t="str">
        <f t="shared" si="26"/>
        <v>5oad</v>
      </c>
      <c r="AD43" s="10" t="str">
        <f>"oad01"</f>
        <v>oad01</v>
      </c>
      <c r="AE43" s="10" t="str">
        <f>"Finance &amp; Procurement / Head of Finance &amp; Procurement"</f>
        <v>Finance &amp; Procurement / Head of Finance &amp; Procurement</v>
      </c>
      <c r="AG43" s="10" t="str">
        <f>"24010/1496"</f>
        <v>24010/1496</v>
      </c>
      <c r="AI43" s="10" t="str">
        <f>"14suse"</f>
        <v>14suse</v>
      </c>
      <c r="AJ43" s="15" t="str">
        <f>"Contribution to Taking Part Dance Fit project with older people"</f>
        <v>Contribution to Taking Part Dance Fit project with older people</v>
      </c>
      <c r="AK43" s="10" t="str">
        <f t="shared" si="24"/>
        <v>Revenue</v>
      </c>
      <c r="AL43" s="10" t="str">
        <f>""</f>
        <v/>
      </c>
      <c r="AM43" s="10" t="str">
        <f>""</f>
        <v/>
      </c>
      <c r="AN43" s="10" t="str">
        <f>""</f>
        <v/>
      </c>
      <c r="AO43" s="10" t="str">
        <f>""</f>
        <v/>
      </c>
    </row>
    <row r="44" spans="1:41" s="10" customFormat="1" ht="409.6">
      <c r="A44" s="9"/>
      <c r="B44" s="9"/>
      <c r="C44" s="9"/>
      <c r="D44" s="10" t="str">
        <f>"32158"</f>
        <v>32158</v>
      </c>
      <c r="E44" s="11" t="str">
        <f>""</f>
        <v/>
      </c>
      <c r="F44" s="11" t="str">
        <f t="shared" si="0"/>
        <v>372418</v>
      </c>
      <c r="G44" s="11" t="str">
        <f t="shared" si="1"/>
        <v>2017toJAN</v>
      </c>
      <c r="H44" s="11" t="str">
        <f t="shared" si="2"/>
        <v>CRSP06B</v>
      </c>
      <c r="I44" s="11" t="str">
        <f t="shared" si="3"/>
        <v>34</v>
      </c>
      <c r="J44" s="11" t="str">
        <f t="shared" si="4"/>
        <v>Creditor</v>
      </c>
      <c r="K44" s="11" t="str">
        <f>"CS002860"</f>
        <v>CS002860</v>
      </c>
      <c r="L44" s="10" t="str">
        <f>"Banbury Healthy Cooking Skills"</f>
        <v>Banbury Healthy Cooking Skills</v>
      </c>
      <c r="M44" s="12" t="str">
        <f>"19/01/2017 00:00:00"</f>
        <v>19/01/2017 00:00:00</v>
      </c>
      <c r="N44" s="12">
        <v>42754</v>
      </c>
      <c r="O44" s="10" t="str">
        <f>"C007972"</f>
        <v>C007972</v>
      </c>
      <c r="P44" s="13">
        <v>2500</v>
      </c>
      <c r="Q44" s="11" t="str">
        <f>"2500.0000"</f>
        <v>2500.0000</v>
      </c>
      <c r="R44" s="10" t="str">
        <f>"059251"</f>
        <v>059251</v>
      </c>
      <c r="S44" s="14" t="str">
        <f>"2500.0000"</f>
        <v>2500.0000</v>
      </c>
      <c r="T44" s="10">
        <v>21759</v>
      </c>
      <c r="U44" s="10">
        <v>1467</v>
      </c>
      <c r="V44" s="10" t="str">
        <f>"Services"</f>
        <v>Services</v>
      </c>
      <c r="W44" s="10" t="str">
        <f>"Supplies and Services"</f>
        <v>Supplies and Services</v>
      </c>
      <c r="X44" s="10" t="str">
        <f>VLOOKUP(U44,'[1]Account code lookup'!A:B,2,0)</f>
        <v>Consultancy</v>
      </c>
      <c r="Z44" s="10" t="str">
        <f>"Dir of Operations and Delivery"</f>
        <v>Dir of Operations and Delivery</v>
      </c>
      <c r="AA44" s="10" t="str">
        <f t="shared" si="25"/>
        <v>Operations and Delivery</v>
      </c>
      <c r="AB44" s="10" t="str">
        <f t="shared" si="26"/>
        <v>5oad</v>
      </c>
      <c r="AD44" s="10" t="str">
        <f>"oad03"</f>
        <v>oad03</v>
      </c>
      <c r="AE44" s="10" t="str">
        <f>"Community &amp; Environment / Community &amp; Environment"</f>
        <v>Community &amp; Environment / Community &amp; Environment</v>
      </c>
      <c r="AG44" s="10" t="str">
        <f>"21759/1467"</f>
        <v>21759/1467</v>
      </c>
      <c r="AI44" s="10" t="str">
        <f>"14suse"</f>
        <v>14suse</v>
      </c>
      <c r="AJ44" s="15" t="str">
        <f>"Healthy cooking skills"</f>
        <v>Healthy cooking skills</v>
      </c>
      <c r="AK44" s="10" t="str">
        <f t="shared" si="24"/>
        <v>Revenue</v>
      </c>
      <c r="AL44" s="10" t="str">
        <f>""</f>
        <v/>
      </c>
      <c r="AM44" s="10" t="str">
        <f>""</f>
        <v/>
      </c>
      <c r="AN44" s="10" t="str">
        <f>""</f>
        <v/>
      </c>
      <c r="AO44" s="10" t="str">
        <f>""</f>
        <v/>
      </c>
    </row>
    <row r="45" spans="1:41" s="10" customFormat="1" ht="409.6">
      <c r="A45" s="9"/>
      <c r="B45" s="9"/>
      <c r="C45" s="9"/>
      <c r="D45" s="10" t="str">
        <f>"32272"</f>
        <v>32272</v>
      </c>
      <c r="E45" s="11" t="str">
        <f>""</f>
        <v/>
      </c>
      <c r="F45" s="11" t="str">
        <f t="shared" si="0"/>
        <v>372418</v>
      </c>
      <c r="G45" s="11" t="str">
        <f t="shared" si="1"/>
        <v>2017toJAN</v>
      </c>
      <c r="H45" s="11" t="str">
        <f t="shared" si="2"/>
        <v>CRSP06B</v>
      </c>
      <c r="I45" s="11" t="str">
        <f t="shared" si="3"/>
        <v>34</v>
      </c>
      <c r="J45" s="11" t="str">
        <f t="shared" si="4"/>
        <v>Creditor</v>
      </c>
      <c r="K45" s="11" t="str">
        <f>"CS000813"</f>
        <v>CS000813</v>
      </c>
      <c r="L45" s="10" t="str">
        <f>"Banbury Musuem Trust"</f>
        <v>Banbury Musuem Trust</v>
      </c>
      <c r="M45" s="12" t="str">
        <f>"27/01/2017 00:00:00"</f>
        <v>27/01/2017 00:00:00</v>
      </c>
      <c r="N45" s="12">
        <v>42762</v>
      </c>
      <c r="O45" s="10" t="str">
        <f>"C008095"</f>
        <v>C008095</v>
      </c>
      <c r="P45" s="13">
        <v>94250</v>
      </c>
      <c r="Q45" s="11" t="str">
        <f>"94250.0000"</f>
        <v>94250.0000</v>
      </c>
      <c r="R45" s="10" t="str">
        <f>"C0004590"</f>
        <v>C0004590</v>
      </c>
      <c r="S45" s="14" t="str">
        <f>"113100.0000"</f>
        <v>113100.0000</v>
      </c>
      <c r="T45" s="10">
        <v>24030</v>
      </c>
      <c r="U45" s="10">
        <v>1580</v>
      </c>
      <c r="V45" s="10" t="str">
        <f>"Grants and subscriptions"</f>
        <v>Grants and subscriptions</v>
      </c>
      <c r="W45" s="10" t="str">
        <f>"Supplies and Services"</f>
        <v>Supplies and Services</v>
      </c>
      <c r="X45" s="10" t="str">
        <f>VLOOKUP(U45,'[1]Account code lookup'!A:B,2,0)</f>
        <v>Grants</v>
      </c>
      <c r="Z45" s="10" t="str">
        <f>"Community Services"</f>
        <v>Community Services</v>
      </c>
      <c r="AA45" s="10" t="str">
        <f t="shared" si="25"/>
        <v>Operations and Delivery</v>
      </c>
      <c r="AB45" s="10" t="str">
        <f t="shared" si="26"/>
        <v>5oad</v>
      </c>
      <c r="AD45" s="10" t="str">
        <f>"oad01"</f>
        <v>oad01</v>
      </c>
      <c r="AE45" s="10" t="str">
        <f>"Finance &amp; Procurement / Head of Finance &amp; Procurement"</f>
        <v>Finance &amp; Procurement / Head of Finance &amp; Procurement</v>
      </c>
      <c r="AG45" s="10" t="str">
        <f>"24030/1580"</f>
        <v>24030/1580</v>
      </c>
      <c r="AI45" s="10" t="str">
        <f>"14suse"</f>
        <v>14suse</v>
      </c>
      <c r="AJ45" s="15" t="str">
        <f>"Annual Grant 2016/2017"</f>
        <v>Annual Grant 2016/2017</v>
      </c>
      <c r="AK45" s="10" t="str">
        <f t="shared" si="24"/>
        <v>Revenue</v>
      </c>
      <c r="AL45" s="10" t="str">
        <f>""</f>
        <v/>
      </c>
      <c r="AM45" s="10" t="str">
        <f>""</f>
        <v/>
      </c>
      <c r="AN45" s="10" t="str">
        <f>""</f>
        <v/>
      </c>
      <c r="AO45" s="10" t="str">
        <f>""</f>
        <v/>
      </c>
    </row>
    <row r="46" spans="1:41" s="10" customFormat="1" ht="409.6">
      <c r="A46" s="9"/>
      <c r="B46" s="9"/>
      <c r="C46" s="9"/>
      <c r="D46" s="10" t="str">
        <f>"32273"</f>
        <v>32273</v>
      </c>
      <c r="E46" s="11" t="str">
        <f>""</f>
        <v/>
      </c>
      <c r="F46" s="11" t="str">
        <f t="shared" si="0"/>
        <v>372418</v>
      </c>
      <c r="G46" s="11" t="str">
        <f t="shared" si="1"/>
        <v>2017toJAN</v>
      </c>
      <c r="H46" s="11" t="str">
        <f t="shared" si="2"/>
        <v>CRSP06B</v>
      </c>
      <c r="I46" s="11" t="str">
        <f t="shared" si="3"/>
        <v>34</v>
      </c>
      <c r="J46" s="11" t="str">
        <f t="shared" si="4"/>
        <v>Creditor</v>
      </c>
      <c r="K46" s="11" t="str">
        <f>"CS000764"</f>
        <v>CS000764</v>
      </c>
      <c r="L46" s="10" t="str">
        <f>"Bandvulc Tyre Contracts"</f>
        <v>Bandvulc Tyre Contracts</v>
      </c>
      <c r="M46" s="12" t="str">
        <f>"11/01/2017 00:00:00"</f>
        <v>11/01/2017 00:00:00</v>
      </c>
      <c r="N46" s="12">
        <v>42746</v>
      </c>
      <c r="O46" s="10" t="str">
        <f>"C007809"</f>
        <v>C007809</v>
      </c>
      <c r="P46" s="13">
        <v>1899.09</v>
      </c>
      <c r="Q46" s="11" t="str">
        <f>"1899.0900"</f>
        <v>1899.0900</v>
      </c>
      <c r="R46" s="10" t="str">
        <f>"C0004352"</f>
        <v>C0004352</v>
      </c>
      <c r="S46" s="14" t="str">
        <f>"2275.1100"</f>
        <v>2275.1100</v>
      </c>
      <c r="T46" s="10">
        <v>21706</v>
      </c>
      <c r="U46" s="10">
        <v>1300</v>
      </c>
      <c r="V46" s="10" t="str">
        <f>"Direct transport costs"</f>
        <v>Direct transport costs</v>
      </c>
      <c r="W46" s="10" t="str">
        <f>"Transport Related Expenditure"</f>
        <v>Transport Related Expenditure</v>
      </c>
      <c r="X46" s="10" t="str">
        <f>VLOOKUP(U46,'[1]Account code lookup'!A:B,2,0)</f>
        <v>Vehicle Repair &amp; Maintenance</v>
      </c>
      <c r="Z46" s="10" t="str">
        <f>"Environmental Services"</f>
        <v>Environmental Services</v>
      </c>
      <c r="AA46" s="10" t="str">
        <f t="shared" si="25"/>
        <v>Operations and Delivery</v>
      </c>
      <c r="AB46" s="10" t="str">
        <f t="shared" si="26"/>
        <v>5oad</v>
      </c>
      <c r="AD46" s="10" t="str">
        <f>"oad02"</f>
        <v>oad02</v>
      </c>
      <c r="AE46" s="10" t="str">
        <f>"Finance &amp; Procurement / Head of Finance &amp; Procurement"</f>
        <v>Finance &amp; Procurement / Head of Finance &amp; Procurement</v>
      </c>
      <c r="AG46" s="10" t="str">
        <f>"21706/1300"</f>
        <v>21706/1300</v>
      </c>
      <c r="AI46" s="10" t="str">
        <f>"13trans"</f>
        <v>13trans</v>
      </c>
      <c r="AJ46" s="15" t="str">
        <f>"Tyres for 2016/17"</f>
        <v>Tyres for 2016/17</v>
      </c>
      <c r="AK46" s="10" t="str">
        <f t="shared" si="24"/>
        <v>Revenue</v>
      </c>
      <c r="AL46" s="10" t="str">
        <f>""</f>
        <v/>
      </c>
      <c r="AM46" s="10" t="str">
        <f>""</f>
        <v/>
      </c>
      <c r="AN46" s="10" t="str">
        <f>""</f>
        <v/>
      </c>
      <c r="AO46" s="10" t="str">
        <f>""</f>
        <v/>
      </c>
    </row>
    <row r="47" spans="1:41" s="10" customFormat="1" ht="409.6">
      <c r="A47" s="9"/>
      <c r="B47" s="9"/>
      <c r="C47" s="9"/>
      <c r="D47" s="10" t="str">
        <f>"32274"</f>
        <v>32274</v>
      </c>
      <c r="E47" s="11" t="str">
        <f>""</f>
        <v/>
      </c>
      <c r="F47" s="11" t="str">
        <f t="shared" si="0"/>
        <v>372418</v>
      </c>
      <c r="G47" s="11" t="str">
        <f t="shared" si="1"/>
        <v>2017toJAN</v>
      </c>
      <c r="H47" s="11" t="str">
        <f t="shared" si="2"/>
        <v>CRSP06B</v>
      </c>
      <c r="I47" s="11" t="str">
        <f t="shared" si="3"/>
        <v>34</v>
      </c>
      <c r="J47" s="11" t="str">
        <f t="shared" si="4"/>
        <v>Creditor</v>
      </c>
      <c r="K47" s="11" t="str">
        <f t="shared" ref="K47:K56" si="27">"CS002338"</f>
        <v>CS002338</v>
      </c>
      <c r="L47" s="10" t="str">
        <f t="shared" ref="L47:L56" si="28">"Barker &amp; Evans Ltd"</f>
        <v>Barker &amp; Evans Ltd</v>
      </c>
      <c r="M47" s="12" t="str">
        <f>"04/01/2017 00:00:00"</f>
        <v>04/01/2017 00:00:00</v>
      </c>
      <c r="N47" s="12">
        <v>42739</v>
      </c>
      <c r="O47" s="10" t="str">
        <f>"C007575"</f>
        <v>C007575</v>
      </c>
      <c r="P47" s="13">
        <v>767</v>
      </c>
      <c r="Q47" s="11" t="str">
        <f>"767.0000"</f>
        <v>767.0000</v>
      </c>
      <c r="R47" s="10" t="str">
        <f>"C0004276"</f>
        <v>C0004276</v>
      </c>
      <c r="S47" s="14" t="str">
        <f>"2000.4000"</f>
        <v>2000.4000</v>
      </c>
      <c r="T47" s="10">
        <v>21717</v>
      </c>
      <c r="U47" s="10">
        <v>1200</v>
      </c>
      <c r="V47" s="10" t="str">
        <f t="shared" ref="V47:V56" si="29">"Repairs &amp; Maintenance"</f>
        <v>Repairs &amp; Maintenance</v>
      </c>
      <c r="W47" s="10" t="str">
        <f t="shared" ref="W47:W56" si="30">"Premises Related Expenditure"</f>
        <v>Premises Related Expenditure</v>
      </c>
      <c r="X47" s="10" t="str">
        <f>VLOOKUP(U47,'[1]Account code lookup'!A:B,2,0)</f>
        <v>Repair &amp; Maintenance</v>
      </c>
      <c r="Z47" s="10" t="str">
        <f t="shared" ref="Z47:Z56" si="31">"Regeneration and Housing"</f>
        <v>Regeneration and Housing</v>
      </c>
      <c r="AA47" s="10" t="str">
        <f t="shared" ref="AA47:AA56" si="32">"Commercial Development"</f>
        <v>Commercial Development</v>
      </c>
      <c r="AB47" s="10" t="str">
        <f t="shared" ref="AB47:AB56" si="33">"2cdb"</f>
        <v>2cdb</v>
      </c>
      <c r="AD47" s="10" t="str">
        <f t="shared" ref="AD47:AD56" si="34">"cdb02"</f>
        <v>cdb02</v>
      </c>
      <c r="AE47" s="10" t="str">
        <f t="shared" ref="AE47:AE56" si="35">"Finance &amp; Procurement / Finance"</f>
        <v>Finance &amp; Procurement / Finance</v>
      </c>
      <c r="AG47" s="10" t="str">
        <f>"21717/1200"</f>
        <v>21717/1200</v>
      </c>
      <c r="AI47" s="10" t="str">
        <f t="shared" ref="AI47:AI56" si="36">"12prem"</f>
        <v>12prem</v>
      </c>
      <c r="AJ47" s="15" t="str">
        <f>"BANBURY MUSEUM_x000D_
_x000D_
Quotation No AJB 854/16_x000D_
_x000D_
Banbury Museum - Replacement Boiler Sequencer PCB Board_x000D_
_x000D_
replace the faulty boiler sequencer PCB board, _x000D_
1. To supply and install 1no. replacement Ideal boiler sequencer PCB board_x000D_
2. Recommission the boiler"</f>
        <v>BANBURY MUSEUM_x000D_
_x000D_
Quotation No AJB 854/16_x000D_
_x000D_
Banbury Museum - Replacement Boiler Sequencer PCB Board_x000D_
_x000D_
replace the faulty boiler sequencer PCB board, _x000D_
1. To supply and install 1no. replacement Ideal boiler sequencer PCB board_x000D_
2. Recommission the boiler</v>
      </c>
      <c r="AK47" s="10" t="str">
        <f t="shared" si="24"/>
        <v>Revenue</v>
      </c>
      <c r="AL47" s="10" t="str">
        <f>""</f>
        <v/>
      </c>
      <c r="AM47" s="10" t="str">
        <f>""</f>
        <v/>
      </c>
      <c r="AN47" s="10" t="str">
        <f>""</f>
        <v/>
      </c>
      <c r="AO47" s="10" t="str">
        <f>""</f>
        <v/>
      </c>
    </row>
    <row r="48" spans="1:41" s="10" customFormat="1" ht="409.6">
      <c r="A48" s="9"/>
      <c r="B48" s="9"/>
      <c r="C48" s="9"/>
      <c r="D48" s="10" t="str">
        <f>"32275"</f>
        <v>32275</v>
      </c>
      <c r="E48" s="11" t="str">
        <f>""</f>
        <v/>
      </c>
      <c r="F48" s="11" t="str">
        <f t="shared" si="0"/>
        <v>372418</v>
      </c>
      <c r="G48" s="11" t="str">
        <f t="shared" si="1"/>
        <v>2017toJAN</v>
      </c>
      <c r="H48" s="11" t="str">
        <f t="shared" si="2"/>
        <v>CRSP06B</v>
      </c>
      <c r="I48" s="11" t="str">
        <f t="shared" si="3"/>
        <v>34</v>
      </c>
      <c r="J48" s="11" t="str">
        <f t="shared" si="4"/>
        <v>Creditor</v>
      </c>
      <c r="K48" s="11" t="str">
        <f t="shared" si="27"/>
        <v>CS002338</v>
      </c>
      <c r="L48" s="10" t="str">
        <f t="shared" si="28"/>
        <v>Barker &amp; Evans Ltd</v>
      </c>
      <c r="M48" s="12" t="str">
        <f>"04/01/2017 00:00:00"</f>
        <v>04/01/2017 00:00:00</v>
      </c>
      <c r="N48" s="12">
        <v>42739</v>
      </c>
      <c r="O48" s="10" t="str">
        <f>"C007576"</f>
        <v>C007576</v>
      </c>
      <c r="P48" s="13">
        <v>900</v>
      </c>
      <c r="Q48" s="11" t="str">
        <f>"900.0000"</f>
        <v>900.0000</v>
      </c>
      <c r="R48" s="10" t="str">
        <f>"C0004276"</f>
        <v>C0004276</v>
      </c>
      <c r="S48" s="14" t="str">
        <f>"2000.4000"</f>
        <v>2000.4000</v>
      </c>
      <c r="T48" s="10">
        <v>31012</v>
      </c>
      <c r="U48" s="10">
        <v>1200</v>
      </c>
      <c r="V48" s="10" t="str">
        <f t="shared" si="29"/>
        <v>Repairs &amp; Maintenance</v>
      </c>
      <c r="W48" s="10" t="str">
        <f t="shared" si="30"/>
        <v>Premises Related Expenditure</v>
      </c>
      <c r="X48" s="10" t="str">
        <f>VLOOKUP(U48,'[1]Account code lookup'!A:B,2,0)</f>
        <v>Repair &amp; Maintenance</v>
      </c>
      <c r="Z48" s="10" t="str">
        <f t="shared" si="31"/>
        <v>Regeneration and Housing</v>
      </c>
      <c r="AA48" s="10" t="str">
        <f t="shared" si="32"/>
        <v>Commercial Development</v>
      </c>
      <c r="AB48" s="10" t="str">
        <f t="shared" si="33"/>
        <v>2cdb</v>
      </c>
      <c r="AD48" s="10" t="str">
        <f t="shared" si="34"/>
        <v>cdb02</v>
      </c>
      <c r="AE48" s="10" t="str">
        <f t="shared" si="35"/>
        <v>Finance &amp; Procurement / Finance</v>
      </c>
      <c r="AG48" s="10" t="str">
        <f>"31012/1200"</f>
        <v>31012/1200</v>
      </c>
      <c r="AI48" s="10" t="str">
        <f t="shared" si="36"/>
        <v>12prem</v>
      </c>
      <c r="AJ48" s="15" t="str">
        <f>"S/C  BANBURY HEALTH CENTRE_x000D_
_x000D_
Quotation No AJB 622/16_x000D_
_x000D_
The Servicing and Maintenance of Heating &amp; Cooling Plant_x000D_
We thank you for your recent enquiry to provide costings for the extension of the existing servicing_x000D_
maintenance contract for the period Au"</f>
        <v>S/C  BANBURY HEALTH CENTRE_x000D_
_x000D_
Quotation No AJB 622/16_x000D_
_x000D_
The Servicing and Maintenance of Heating &amp; Cooling Plant_x000D_
We thank you for your recent enquiry to provide costings for the extension of the existing servicing_x000D_
maintenance contract for the period Au</v>
      </c>
      <c r="AK48" s="10" t="str">
        <f t="shared" si="24"/>
        <v>Revenue</v>
      </c>
      <c r="AL48" s="10" t="str">
        <f>""</f>
        <v/>
      </c>
      <c r="AM48" s="10" t="str">
        <f>""</f>
        <v/>
      </c>
      <c r="AN48" s="10" t="str">
        <f>""</f>
        <v/>
      </c>
      <c r="AO48" s="10" t="str">
        <f>""</f>
        <v/>
      </c>
    </row>
    <row r="49" spans="1:41" s="10" customFormat="1" ht="409.6">
      <c r="A49" s="9"/>
      <c r="B49" s="9"/>
      <c r="C49" s="9"/>
      <c r="D49" s="10" t="str">
        <f>"32785"</f>
        <v>32785</v>
      </c>
      <c r="E49" s="11" t="str">
        <f>""</f>
        <v/>
      </c>
      <c r="F49" s="11" t="str">
        <f t="shared" si="0"/>
        <v>372418</v>
      </c>
      <c r="G49" s="11" t="str">
        <f t="shared" si="1"/>
        <v>2017toJAN</v>
      </c>
      <c r="H49" s="11" t="str">
        <f t="shared" si="2"/>
        <v>CRSP06B</v>
      </c>
      <c r="I49" s="11" t="str">
        <f t="shared" si="3"/>
        <v>34</v>
      </c>
      <c r="J49" s="11" t="str">
        <f t="shared" si="4"/>
        <v>Creditor</v>
      </c>
      <c r="K49" s="11" t="str">
        <f t="shared" si="27"/>
        <v>CS002338</v>
      </c>
      <c r="L49" s="10" t="str">
        <f t="shared" si="28"/>
        <v>Barker &amp; Evans Ltd</v>
      </c>
      <c r="M49" s="12" t="str">
        <f>"09/01/2017 00:00:00"</f>
        <v>09/01/2017 00:00:00</v>
      </c>
      <c r="N49" s="12">
        <v>42744</v>
      </c>
      <c r="O49" s="10" t="str">
        <f>"C007725"</f>
        <v>C007725</v>
      </c>
      <c r="P49" s="13">
        <v>110.25</v>
      </c>
      <c r="Q49" s="11" t="str">
        <f>"110.2500"</f>
        <v>110.2500</v>
      </c>
      <c r="R49" s="10" t="str">
        <f>"C0004341"</f>
        <v>C0004341</v>
      </c>
      <c r="S49" s="14" t="str">
        <f>"1152.3000"</f>
        <v>1152.3000</v>
      </c>
      <c r="T49" s="10">
        <v>21717</v>
      </c>
      <c r="U49" s="10">
        <v>1200</v>
      </c>
      <c r="V49" s="10" t="str">
        <f t="shared" si="29"/>
        <v>Repairs &amp; Maintenance</v>
      </c>
      <c r="W49" s="10" t="str">
        <f t="shared" si="30"/>
        <v>Premises Related Expenditure</v>
      </c>
      <c r="X49" s="10" t="str">
        <f>VLOOKUP(U49,'[1]Account code lookup'!A:B,2,0)</f>
        <v>Repair &amp; Maintenance</v>
      </c>
      <c r="Z49" s="10" t="str">
        <f t="shared" si="31"/>
        <v>Regeneration and Housing</v>
      </c>
      <c r="AA49" s="10" t="str">
        <f t="shared" si="32"/>
        <v>Commercial Development</v>
      </c>
      <c r="AB49" s="10" t="str">
        <f t="shared" si="33"/>
        <v>2cdb</v>
      </c>
      <c r="AD49" s="10" t="str">
        <f t="shared" si="34"/>
        <v>cdb02</v>
      </c>
      <c r="AE49" s="10" t="str">
        <f t="shared" si="35"/>
        <v>Finance &amp; Procurement / Finance</v>
      </c>
      <c r="AG49" s="10" t="str">
        <f>"21717/1200"</f>
        <v>21717/1200</v>
      </c>
      <c r="AI49" s="10" t="str">
        <f t="shared" si="36"/>
        <v>12prem</v>
      </c>
      <c r="AJ49" s="15" t="str">
        <f>"BODICOTE HOUSE_x000D_
_x000D_
18/11/16_x000D_
Leak in gents toilet 1st floor"</f>
        <v>BODICOTE HOUSE_x000D_
_x000D_
18/11/16_x000D_
Leak in gents toilet 1st floor</v>
      </c>
      <c r="AK49" s="10" t="str">
        <f t="shared" si="24"/>
        <v>Revenue</v>
      </c>
      <c r="AL49" s="10" t="str">
        <f>""</f>
        <v/>
      </c>
      <c r="AM49" s="10" t="str">
        <f>""</f>
        <v/>
      </c>
      <c r="AN49" s="10" t="str">
        <f>""</f>
        <v/>
      </c>
      <c r="AO49" s="10" t="str">
        <f>""</f>
        <v/>
      </c>
    </row>
    <row r="50" spans="1:41" s="10" customFormat="1" ht="409.6">
      <c r="A50" s="9"/>
      <c r="B50" s="9"/>
      <c r="C50" s="9"/>
      <c r="D50" s="10" t="str">
        <f>"33160"</f>
        <v>33160</v>
      </c>
      <c r="E50" s="11" t="str">
        <f>""</f>
        <v/>
      </c>
      <c r="F50" s="11" t="str">
        <f t="shared" si="0"/>
        <v>372418</v>
      </c>
      <c r="G50" s="11" t="str">
        <f t="shared" si="1"/>
        <v>2017toJAN</v>
      </c>
      <c r="H50" s="11" t="str">
        <f t="shared" si="2"/>
        <v>CRSP06B</v>
      </c>
      <c r="I50" s="11" t="str">
        <f t="shared" si="3"/>
        <v>34</v>
      </c>
      <c r="J50" s="11" t="str">
        <f t="shared" si="4"/>
        <v>Creditor</v>
      </c>
      <c r="K50" s="11" t="str">
        <f t="shared" si="27"/>
        <v>CS002338</v>
      </c>
      <c r="L50" s="10" t="str">
        <f t="shared" si="28"/>
        <v>Barker &amp; Evans Ltd</v>
      </c>
      <c r="M50" s="12" t="str">
        <f>"09/01/2017 00:00:00"</f>
        <v>09/01/2017 00:00:00</v>
      </c>
      <c r="N50" s="12">
        <v>42744</v>
      </c>
      <c r="O50" s="10" t="str">
        <f>"C007723"</f>
        <v>C007723</v>
      </c>
      <c r="P50" s="13">
        <v>850</v>
      </c>
      <c r="Q50" s="11" t="str">
        <f>"850.0000"</f>
        <v>850.0000</v>
      </c>
      <c r="R50" s="10" t="str">
        <f>"C0004341"</f>
        <v>C0004341</v>
      </c>
      <c r="S50" s="14" t="str">
        <f>"1152.3000"</f>
        <v>1152.3000</v>
      </c>
      <c r="T50" s="10">
        <v>21717</v>
      </c>
      <c r="U50" s="10">
        <v>1200</v>
      </c>
      <c r="V50" s="10" t="str">
        <f t="shared" si="29"/>
        <v>Repairs &amp; Maintenance</v>
      </c>
      <c r="W50" s="10" t="str">
        <f t="shared" si="30"/>
        <v>Premises Related Expenditure</v>
      </c>
      <c r="X50" s="10" t="str">
        <f>VLOOKUP(U50,'[1]Account code lookup'!A:B,2,0)</f>
        <v>Repair &amp; Maintenance</v>
      </c>
      <c r="Z50" s="10" t="str">
        <f t="shared" si="31"/>
        <v>Regeneration and Housing</v>
      </c>
      <c r="AA50" s="10" t="str">
        <f t="shared" si="32"/>
        <v>Commercial Development</v>
      </c>
      <c r="AB50" s="10" t="str">
        <f t="shared" si="33"/>
        <v>2cdb</v>
      </c>
      <c r="AD50" s="10" t="str">
        <f t="shared" si="34"/>
        <v>cdb02</v>
      </c>
      <c r="AE50" s="10" t="str">
        <f t="shared" si="35"/>
        <v>Finance &amp; Procurement / Finance</v>
      </c>
      <c r="AG50" s="10" t="str">
        <f>"21717/1200"</f>
        <v>21717/1200</v>
      </c>
      <c r="AI50" s="10" t="str">
        <f t="shared" si="36"/>
        <v>12prem</v>
      </c>
      <c r="AJ50" s="15" t="str">
        <f>"BODICOTE HOUSE_x000D_
_x000D_
The Servicing and Maintenance of Heating &amp; Cooling Plant_x000D_
We thank you for your recent enquiry to provide costings for the extension of the existing servicing_x000D_
maintenance contract for the period August 31st 2016 – March 31st 2017 with a"</f>
        <v>BODICOTE HOUSE_x000D_
_x000D_
The Servicing and Maintenance of Heating &amp; Cooling Plant_x000D_
We thank you for your recent enquiry to provide costings for the extension of the existing servicing_x000D_
maintenance contract for the period August 31st 2016 – March 31st 2017 with a</v>
      </c>
      <c r="AK50" s="10" t="str">
        <f t="shared" si="24"/>
        <v>Revenue</v>
      </c>
      <c r="AL50" s="10" t="str">
        <f>""</f>
        <v/>
      </c>
      <c r="AM50" s="10" t="str">
        <f>""</f>
        <v/>
      </c>
      <c r="AN50" s="10" t="str">
        <f>""</f>
        <v/>
      </c>
      <c r="AO50" s="10" t="str">
        <f>""</f>
        <v/>
      </c>
    </row>
    <row r="51" spans="1:41" s="10" customFormat="1" ht="409.6">
      <c r="A51" s="9"/>
      <c r="B51" s="9"/>
      <c r="C51" s="9"/>
      <c r="D51" s="10" t="str">
        <f>"33236"</f>
        <v>33236</v>
      </c>
      <c r="E51" s="11" t="str">
        <f>""</f>
        <v/>
      </c>
      <c r="F51" s="11" t="str">
        <f t="shared" si="0"/>
        <v>372418</v>
      </c>
      <c r="G51" s="11" t="str">
        <f t="shared" si="1"/>
        <v>2017toJAN</v>
      </c>
      <c r="H51" s="11" t="str">
        <f t="shared" si="2"/>
        <v>CRSP06B</v>
      </c>
      <c r="I51" s="11" t="str">
        <f t="shared" si="3"/>
        <v>34</v>
      </c>
      <c r="J51" s="11" t="str">
        <f t="shared" si="4"/>
        <v>Creditor</v>
      </c>
      <c r="K51" s="11" t="str">
        <f t="shared" si="27"/>
        <v>CS002338</v>
      </c>
      <c r="L51" s="10" t="str">
        <f t="shared" si="28"/>
        <v>Barker &amp; Evans Ltd</v>
      </c>
      <c r="M51" s="12" t="str">
        <f>"11/01/2017 00:00:00"</f>
        <v>11/01/2017 00:00:00</v>
      </c>
      <c r="N51" s="12">
        <v>42746</v>
      </c>
      <c r="O51" s="10" t="str">
        <f>"C007709"</f>
        <v>C007709</v>
      </c>
      <c r="P51" s="13">
        <v>1930</v>
      </c>
      <c r="Q51" s="11" t="str">
        <f>"1930.0000"</f>
        <v>1930.0000</v>
      </c>
      <c r="R51" s="10" t="str">
        <f>"C0004376"</f>
        <v>C0004376</v>
      </c>
      <c r="S51" s="14" t="str">
        <f>"2316.0000"</f>
        <v>2316.0000</v>
      </c>
      <c r="T51" s="10">
        <v>21714</v>
      </c>
      <c r="U51" s="10">
        <v>1200</v>
      </c>
      <c r="V51" s="10" t="str">
        <f t="shared" si="29"/>
        <v>Repairs &amp; Maintenance</v>
      </c>
      <c r="W51" s="10" t="str">
        <f t="shared" si="30"/>
        <v>Premises Related Expenditure</v>
      </c>
      <c r="X51" s="10" t="str">
        <f>VLOOKUP(U51,'[1]Account code lookup'!A:B,2,0)</f>
        <v>Repair &amp; Maintenance</v>
      </c>
      <c r="Z51" s="10" t="str">
        <f t="shared" si="31"/>
        <v>Regeneration and Housing</v>
      </c>
      <c r="AA51" s="10" t="str">
        <f t="shared" si="32"/>
        <v>Commercial Development</v>
      </c>
      <c r="AB51" s="10" t="str">
        <f t="shared" si="33"/>
        <v>2cdb</v>
      </c>
      <c r="AD51" s="10" t="str">
        <f t="shared" si="34"/>
        <v>cdb02</v>
      </c>
      <c r="AE51" s="10" t="str">
        <f t="shared" si="35"/>
        <v>Finance &amp; Procurement / Finance</v>
      </c>
      <c r="AG51" s="10" t="str">
        <f>"21714/1200"</f>
        <v>21714/1200</v>
      </c>
      <c r="AI51" s="10" t="str">
        <f t="shared" si="36"/>
        <v>12prem</v>
      </c>
      <c r="AJ51" s="15" t="str">
        <f>"DEPOT THORPE LANE _x000D_
_x000D_
planned Annual inspection to the Heating Equipment in the Contract extension period._x000D_
Please find detailed the costings for the planned visits between June 2016 – August 2016 To carry out 1no. Annual service visit to the Heating Equi"</f>
        <v>DEPOT THORPE LANE _x000D_
_x000D_
planned Annual inspection to the Heating Equipment in the Contract extension period._x000D_
Please find detailed the costings for the planned visits between June 2016 – August 2016 To carry out 1no. Annual service visit to the Heating Equi</v>
      </c>
      <c r="AK51" s="10" t="str">
        <f t="shared" si="24"/>
        <v>Revenue</v>
      </c>
      <c r="AL51" s="10" t="str">
        <f>""</f>
        <v/>
      </c>
      <c r="AM51" s="10" t="str">
        <f>""</f>
        <v/>
      </c>
      <c r="AN51" s="10" t="str">
        <f>""</f>
        <v/>
      </c>
      <c r="AO51" s="10" t="str">
        <f>""</f>
        <v/>
      </c>
    </row>
    <row r="52" spans="1:41" s="10" customFormat="1" ht="409.6">
      <c r="A52" s="9"/>
      <c r="B52" s="9"/>
      <c r="C52" s="9"/>
      <c r="D52" s="10" t="str">
        <f>"33383"</f>
        <v>33383</v>
      </c>
      <c r="E52" s="11" t="str">
        <f>""</f>
        <v/>
      </c>
      <c r="F52" s="11" t="str">
        <f t="shared" si="0"/>
        <v>372418</v>
      </c>
      <c r="G52" s="11" t="str">
        <f t="shared" si="1"/>
        <v>2017toJAN</v>
      </c>
      <c r="H52" s="11" t="str">
        <f t="shared" si="2"/>
        <v>CRSP06B</v>
      </c>
      <c r="I52" s="11" t="str">
        <f t="shared" si="3"/>
        <v>34</v>
      </c>
      <c r="J52" s="11" t="str">
        <f t="shared" si="4"/>
        <v>Creditor</v>
      </c>
      <c r="K52" s="11" t="str">
        <f t="shared" si="27"/>
        <v>CS002338</v>
      </c>
      <c r="L52" s="10" t="str">
        <f t="shared" si="28"/>
        <v>Barker &amp; Evans Ltd</v>
      </c>
      <c r="M52" s="12" t="str">
        <f>"16/01/2017 00:00:00"</f>
        <v>16/01/2017 00:00:00</v>
      </c>
      <c r="N52" s="12">
        <v>42751</v>
      </c>
      <c r="O52" s="10" t="str">
        <f>"C007819"</f>
        <v>C007819</v>
      </c>
      <c r="P52" s="13">
        <v>1800</v>
      </c>
      <c r="Q52" s="11" t="str">
        <f>"1800.0000"</f>
        <v>1800.0000</v>
      </c>
      <c r="R52" s="10" t="str">
        <f>"C0004452"</f>
        <v>C0004452</v>
      </c>
      <c r="S52" s="14" t="str">
        <f>"2160.0000"</f>
        <v>2160.0000</v>
      </c>
      <c r="T52" s="10">
        <v>21717</v>
      </c>
      <c r="U52" s="10">
        <v>1200</v>
      </c>
      <c r="V52" s="10" t="str">
        <f t="shared" si="29"/>
        <v>Repairs &amp; Maintenance</v>
      </c>
      <c r="W52" s="10" t="str">
        <f t="shared" si="30"/>
        <v>Premises Related Expenditure</v>
      </c>
      <c r="X52" s="10" t="str">
        <f>VLOOKUP(U52,'[1]Account code lookup'!A:B,2,0)</f>
        <v>Repair &amp; Maintenance</v>
      </c>
      <c r="Z52" s="10" t="str">
        <f t="shared" si="31"/>
        <v>Regeneration and Housing</v>
      </c>
      <c r="AA52" s="10" t="str">
        <f t="shared" si="32"/>
        <v>Commercial Development</v>
      </c>
      <c r="AB52" s="10" t="str">
        <f t="shared" si="33"/>
        <v>2cdb</v>
      </c>
      <c r="AD52" s="10" t="str">
        <f t="shared" si="34"/>
        <v>cdb02</v>
      </c>
      <c r="AE52" s="10" t="str">
        <f t="shared" si="35"/>
        <v>Finance &amp; Procurement / Finance</v>
      </c>
      <c r="AG52" s="10" t="str">
        <f>"21717/1200"</f>
        <v>21717/1200</v>
      </c>
      <c r="AI52" s="10" t="str">
        <f t="shared" si="36"/>
        <v>12prem</v>
      </c>
      <c r="AJ52" s="15" t="str">
        <f>"BANBURY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f>
        <v>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v>
      </c>
      <c r="AK52" s="10" t="str">
        <f t="shared" si="24"/>
        <v>Revenue</v>
      </c>
      <c r="AL52" s="10" t="str">
        <f>""</f>
        <v/>
      </c>
      <c r="AM52" s="10" t="str">
        <f>""</f>
        <v/>
      </c>
      <c r="AN52" s="10" t="str">
        <f>""</f>
        <v/>
      </c>
      <c r="AO52" s="10" t="str">
        <f>""</f>
        <v/>
      </c>
    </row>
    <row r="53" spans="1:41" s="10" customFormat="1" ht="409.6">
      <c r="A53" s="9"/>
      <c r="B53" s="9"/>
      <c r="C53" s="9"/>
      <c r="D53" s="10" t="str">
        <f>"33899"</f>
        <v>33899</v>
      </c>
      <c r="E53" s="11" t="str">
        <f>""</f>
        <v/>
      </c>
      <c r="F53" s="11" t="str">
        <f t="shared" si="0"/>
        <v>372418</v>
      </c>
      <c r="G53" s="11" t="str">
        <f t="shared" si="1"/>
        <v>2017toJAN</v>
      </c>
      <c r="H53" s="11" t="str">
        <f t="shared" si="2"/>
        <v>CRSP06B</v>
      </c>
      <c r="I53" s="11" t="str">
        <f t="shared" si="3"/>
        <v>34</v>
      </c>
      <c r="J53" s="11" t="str">
        <f t="shared" si="4"/>
        <v>Creditor</v>
      </c>
      <c r="K53" s="11" t="str">
        <f t="shared" si="27"/>
        <v>CS002338</v>
      </c>
      <c r="L53" s="10" t="str">
        <f t="shared" si="28"/>
        <v>Barker &amp; Evans Ltd</v>
      </c>
      <c r="M53" s="12" t="str">
        <f>"18/01/2017 00:00:00"</f>
        <v>18/01/2017 00:00:00</v>
      </c>
      <c r="N53" s="12">
        <v>42753</v>
      </c>
      <c r="O53" s="10" t="str">
        <f>"C007821"</f>
        <v>C007821</v>
      </c>
      <c r="P53" s="13">
        <v>900</v>
      </c>
      <c r="Q53" s="11" t="str">
        <f>"900.0000"</f>
        <v>900.0000</v>
      </c>
      <c r="R53" s="10" t="str">
        <f>"C0004485"</f>
        <v>C0004485</v>
      </c>
      <c r="S53" s="14" t="str">
        <f>"1920.0000"</f>
        <v>1920.0000</v>
      </c>
      <c r="T53" s="10">
        <v>21717</v>
      </c>
      <c r="U53" s="10">
        <v>1200</v>
      </c>
      <c r="V53" s="10" t="str">
        <f t="shared" si="29"/>
        <v>Repairs &amp; Maintenance</v>
      </c>
      <c r="W53" s="10" t="str">
        <f t="shared" si="30"/>
        <v>Premises Related Expenditure</v>
      </c>
      <c r="X53" s="10" t="str">
        <f>VLOOKUP(U53,'[1]Account code lookup'!A:B,2,0)</f>
        <v>Repair &amp; Maintenance</v>
      </c>
      <c r="Z53" s="10" t="str">
        <f t="shared" si="31"/>
        <v>Regeneration and Housing</v>
      </c>
      <c r="AA53" s="10" t="str">
        <f t="shared" si="32"/>
        <v>Commercial Development</v>
      </c>
      <c r="AB53" s="10" t="str">
        <f t="shared" si="33"/>
        <v>2cdb</v>
      </c>
      <c r="AD53" s="10" t="str">
        <f t="shared" si="34"/>
        <v>cdb02</v>
      </c>
      <c r="AE53" s="10" t="str">
        <f t="shared" si="35"/>
        <v>Finance &amp; Procurement / Finance</v>
      </c>
      <c r="AG53" s="10" t="str">
        <f>"21717/1200"</f>
        <v>21717/1200</v>
      </c>
      <c r="AI53" s="10" t="str">
        <f t="shared" si="36"/>
        <v>12prem</v>
      </c>
      <c r="AJ53" s="15" t="str">
        <f>"BANBURY MUSEUM_x000D_
_x000D_
Quotation No AJB 622/16_x000D_
_x000D_
The Servicing and Maintenance of Heating &amp; Cooling Plant_x000D_
We thank you for your recent enquiry to provide costings for the extension of the existing servicing_x000D_
maintenance contract for the period August 31st 20"</f>
        <v>BANBURY MUSEUM_x000D_
_x000D_
Quotation No AJB 622/16_x000D_
_x000D_
The Servicing and Maintenance of Heating &amp; Cooling Plant_x000D_
We thank you for your recent enquiry to provide costings for the extension of the existing servicing_x000D_
maintenance contract for the period August 31st 20</v>
      </c>
      <c r="AK53" s="10" t="str">
        <f t="shared" si="24"/>
        <v>Revenue</v>
      </c>
      <c r="AL53" s="10" t="str">
        <f>""</f>
        <v/>
      </c>
      <c r="AM53" s="10" t="str">
        <f>""</f>
        <v/>
      </c>
      <c r="AN53" s="10" t="str">
        <f>""</f>
        <v/>
      </c>
      <c r="AO53" s="10" t="str">
        <f>""</f>
        <v/>
      </c>
    </row>
    <row r="54" spans="1:41" s="10" customFormat="1" ht="409.6">
      <c r="A54" s="9"/>
      <c r="B54" s="9"/>
      <c r="C54" s="9"/>
      <c r="D54" s="10" t="str">
        <f>"33960"</f>
        <v>33960</v>
      </c>
      <c r="E54" s="11" t="str">
        <f>""</f>
        <v/>
      </c>
      <c r="F54" s="11" t="str">
        <f t="shared" si="0"/>
        <v>372418</v>
      </c>
      <c r="G54" s="11" t="str">
        <f t="shared" si="1"/>
        <v>2017toJAN</v>
      </c>
      <c r="H54" s="11" t="str">
        <f t="shared" si="2"/>
        <v>CRSP06B</v>
      </c>
      <c r="I54" s="11" t="str">
        <f t="shared" si="3"/>
        <v>34</v>
      </c>
      <c r="J54" s="11" t="str">
        <f t="shared" si="4"/>
        <v>Creditor</v>
      </c>
      <c r="K54" s="11" t="str">
        <f t="shared" si="27"/>
        <v>CS002338</v>
      </c>
      <c r="L54" s="10" t="str">
        <f t="shared" si="28"/>
        <v>Barker &amp; Evans Ltd</v>
      </c>
      <c r="M54" s="12" t="str">
        <f>"18/01/2017 00:00:00"</f>
        <v>18/01/2017 00:00:00</v>
      </c>
      <c r="N54" s="12">
        <v>42753</v>
      </c>
      <c r="O54" s="10" t="str">
        <f>"C007818"</f>
        <v>C007818</v>
      </c>
      <c r="P54" s="13">
        <v>350</v>
      </c>
      <c r="Q54" s="11" t="str">
        <f>"350.0000"</f>
        <v>350.0000</v>
      </c>
      <c r="R54" s="10" t="str">
        <f>"C0004485"</f>
        <v>C0004485</v>
      </c>
      <c r="S54" s="14" t="str">
        <f>"1920.0000"</f>
        <v>1920.0000</v>
      </c>
      <c r="T54" s="10">
        <v>21717</v>
      </c>
      <c r="U54" s="10">
        <v>1200</v>
      </c>
      <c r="V54" s="10" t="str">
        <f t="shared" si="29"/>
        <v>Repairs &amp; Maintenance</v>
      </c>
      <c r="W54" s="10" t="str">
        <f t="shared" si="30"/>
        <v>Premises Related Expenditure</v>
      </c>
      <c r="X54" s="10" t="str">
        <f>VLOOKUP(U54,'[1]Account code lookup'!A:B,2,0)</f>
        <v>Repair &amp; Maintenance</v>
      </c>
      <c r="Z54" s="10" t="str">
        <f t="shared" si="31"/>
        <v>Regeneration and Housing</v>
      </c>
      <c r="AA54" s="10" t="str">
        <f t="shared" si="32"/>
        <v>Commercial Development</v>
      </c>
      <c r="AB54" s="10" t="str">
        <f t="shared" si="33"/>
        <v>2cdb</v>
      </c>
      <c r="AD54" s="10" t="str">
        <f t="shared" si="34"/>
        <v>cdb02</v>
      </c>
      <c r="AE54" s="10" t="str">
        <f t="shared" si="35"/>
        <v>Finance &amp; Procurement / Finance</v>
      </c>
      <c r="AG54" s="10" t="str">
        <f>"21717/1200"</f>
        <v>21717/1200</v>
      </c>
      <c r="AI54" s="10" t="str">
        <f t="shared" si="36"/>
        <v>12prem</v>
      </c>
      <c r="AJ54" s="15" t="str">
        <f>"BANBURY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f>
        <v>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v>
      </c>
      <c r="AK54" s="10" t="str">
        <f t="shared" si="24"/>
        <v>Revenue</v>
      </c>
      <c r="AL54" s="10" t="str">
        <f>""</f>
        <v/>
      </c>
      <c r="AM54" s="10" t="str">
        <f>""</f>
        <v/>
      </c>
      <c r="AN54" s="10" t="str">
        <f>""</f>
        <v/>
      </c>
      <c r="AO54" s="10" t="str">
        <f>""</f>
        <v/>
      </c>
    </row>
    <row r="55" spans="1:41" s="10" customFormat="1" ht="409.6">
      <c r="A55" s="9"/>
      <c r="B55" s="9"/>
      <c r="C55" s="9"/>
      <c r="D55" s="10" t="str">
        <f>"33999"</f>
        <v>33999</v>
      </c>
      <c r="E55" s="11" t="str">
        <f>""</f>
        <v/>
      </c>
      <c r="F55" s="11" t="str">
        <f t="shared" si="0"/>
        <v>372418</v>
      </c>
      <c r="G55" s="11" t="str">
        <f t="shared" si="1"/>
        <v>2017toJAN</v>
      </c>
      <c r="H55" s="11" t="str">
        <f t="shared" si="2"/>
        <v>CRSP06B</v>
      </c>
      <c r="I55" s="11" t="str">
        <f t="shared" si="3"/>
        <v>34</v>
      </c>
      <c r="J55" s="11" t="str">
        <f t="shared" si="4"/>
        <v>Creditor</v>
      </c>
      <c r="K55" s="11" t="str">
        <f t="shared" si="27"/>
        <v>CS002338</v>
      </c>
      <c r="L55" s="10" t="str">
        <f t="shared" si="28"/>
        <v>Barker &amp; Evans Ltd</v>
      </c>
      <c r="M55" s="12" t="str">
        <f>"18/01/2017 00:00:00"</f>
        <v>18/01/2017 00:00:00</v>
      </c>
      <c r="N55" s="12">
        <v>42753</v>
      </c>
      <c r="O55" s="10" t="str">
        <f>"C007861"</f>
        <v>C007861</v>
      </c>
      <c r="P55" s="13">
        <v>350</v>
      </c>
      <c r="Q55" s="11" t="str">
        <f>"350.0000"</f>
        <v>350.0000</v>
      </c>
      <c r="R55" s="10" t="str">
        <f>"C0004485"</f>
        <v>C0004485</v>
      </c>
      <c r="S55" s="14" t="str">
        <f>"1920.0000"</f>
        <v>1920.0000</v>
      </c>
      <c r="T55" s="10">
        <v>21717</v>
      </c>
      <c r="U55" s="10">
        <v>1200</v>
      </c>
      <c r="V55" s="10" t="str">
        <f t="shared" si="29"/>
        <v>Repairs &amp; Maintenance</v>
      </c>
      <c r="W55" s="10" t="str">
        <f t="shared" si="30"/>
        <v>Premises Related Expenditure</v>
      </c>
      <c r="X55" s="10" t="str">
        <f>VLOOKUP(U55,'[1]Account code lookup'!A:B,2,0)</f>
        <v>Repair &amp; Maintenance</v>
      </c>
      <c r="Z55" s="10" t="str">
        <f t="shared" si="31"/>
        <v>Regeneration and Housing</v>
      </c>
      <c r="AA55" s="10" t="str">
        <f t="shared" si="32"/>
        <v>Commercial Development</v>
      </c>
      <c r="AB55" s="10" t="str">
        <f t="shared" si="33"/>
        <v>2cdb</v>
      </c>
      <c r="AD55" s="10" t="str">
        <f t="shared" si="34"/>
        <v>cdb02</v>
      </c>
      <c r="AE55" s="10" t="str">
        <f t="shared" si="35"/>
        <v>Finance &amp; Procurement / Finance</v>
      </c>
      <c r="AG55" s="10" t="str">
        <f>"21717/1200"</f>
        <v>21717/1200</v>
      </c>
      <c r="AI55" s="10" t="str">
        <f t="shared" si="36"/>
        <v>12prem</v>
      </c>
      <c r="AJ55" s="15" t="str">
        <f>"BANBURY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f>
        <v>BANBURY MUSEUM_x000D_
_x000D_
Quotation No AJB 627/16_x000D_
_x000D_
To provide a planned quarterly inspection to the Air Conditioning Equipment in the Contract extension_x000D_
period. Please find detailed the costings for the planned visits between August 31st 2016 – March 31st_x000D_
201</v>
      </c>
      <c r="AK55" s="10" t="str">
        <f t="shared" si="24"/>
        <v>Revenue</v>
      </c>
      <c r="AL55" s="10" t="str">
        <f>""</f>
        <v/>
      </c>
      <c r="AM55" s="10" t="str">
        <f>""</f>
        <v/>
      </c>
      <c r="AN55" s="10" t="str">
        <f>""</f>
        <v/>
      </c>
      <c r="AO55" s="10" t="str">
        <f>""</f>
        <v/>
      </c>
    </row>
    <row r="56" spans="1:41" s="10" customFormat="1" ht="409.6">
      <c r="A56" s="9"/>
      <c r="B56" s="9"/>
      <c r="C56" s="9"/>
      <c r="D56" s="10" t="str">
        <f>"34000"</f>
        <v>34000</v>
      </c>
      <c r="E56" s="11" t="str">
        <f>""</f>
        <v/>
      </c>
      <c r="F56" s="11" t="str">
        <f t="shared" si="0"/>
        <v>372418</v>
      </c>
      <c r="G56" s="11" t="str">
        <f t="shared" si="1"/>
        <v>2017toJAN</v>
      </c>
      <c r="H56" s="11" t="str">
        <f t="shared" si="2"/>
        <v>CRSP06B</v>
      </c>
      <c r="I56" s="11" t="str">
        <f t="shared" si="3"/>
        <v>34</v>
      </c>
      <c r="J56" s="11" t="str">
        <f t="shared" si="4"/>
        <v>Creditor</v>
      </c>
      <c r="K56" s="11" t="str">
        <f t="shared" si="27"/>
        <v>CS002338</v>
      </c>
      <c r="L56" s="10" t="str">
        <f t="shared" si="28"/>
        <v>Barker &amp; Evans Ltd</v>
      </c>
      <c r="M56" s="12" t="str">
        <f>"25/01/2017 00:00:00"</f>
        <v>25/01/2017 00:00:00</v>
      </c>
      <c r="N56" s="12">
        <v>42760</v>
      </c>
      <c r="O56" s="10" t="str">
        <f>"C007791"</f>
        <v>C007791</v>
      </c>
      <c r="P56" s="13">
        <v>1745.29</v>
      </c>
      <c r="Q56" s="11" t="str">
        <f>"1745.2900"</f>
        <v>1745.2900</v>
      </c>
      <c r="R56" s="10" t="str">
        <f>"C0004565"</f>
        <v>C0004565</v>
      </c>
      <c r="S56" s="14" t="str">
        <f>"2094.3500"</f>
        <v>2094.3500</v>
      </c>
      <c r="T56" s="10">
        <v>31013</v>
      </c>
      <c r="U56" s="10">
        <v>1200</v>
      </c>
      <c r="V56" s="10" t="str">
        <f t="shared" si="29"/>
        <v>Repairs &amp; Maintenance</v>
      </c>
      <c r="W56" s="10" t="str">
        <f t="shared" si="30"/>
        <v>Premises Related Expenditure</v>
      </c>
      <c r="X56" s="10" t="str">
        <f>VLOOKUP(U56,'[1]Account code lookup'!A:B,2,0)</f>
        <v>Repair &amp; Maintenance</v>
      </c>
      <c r="Z56" s="10" t="str">
        <f t="shared" si="31"/>
        <v>Regeneration and Housing</v>
      </c>
      <c r="AA56" s="10" t="str">
        <f t="shared" si="32"/>
        <v>Commercial Development</v>
      </c>
      <c r="AB56" s="10" t="str">
        <f t="shared" si="33"/>
        <v>2cdb</v>
      </c>
      <c r="AD56" s="10" t="str">
        <f t="shared" si="34"/>
        <v>cdb02</v>
      </c>
      <c r="AE56" s="10" t="str">
        <f t="shared" si="35"/>
        <v>Finance &amp; Procurement / Finance</v>
      </c>
      <c r="AG56" s="10" t="str">
        <f>"31013/1200"</f>
        <v>31013/1200</v>
      </c>
      <c r="AI56" s="10" t="str">
        <f t="shared" si="36"/>
        <v>12prem</v>
      </c>
      <c r="AJ56" s="15" t="str">
        <f>"s/c SHOPMOBILITYShopmobilityRepairs to the failed front door automatic mechanismB&amp;E costs - £178.00 +vatSub-contractor costs - £236.00 + vatTOTAL - £436.00+vatThere may be further costs for parts to be determined by sub-contractors site visi"</f>
        <v>s/c SHOPMOBILITYShopmobilityRepairs to the failed front door automatic mechanismB&amp;E costs - £178.00 +vatSub-contractor costs - £236.00 + vatTOTAL - £436.00+vatThere may be further costs for parts to be determined by sub-contractors site visi</v>
      </c>
      <c r="AK56" s="10" t="str">
        <f t="shared" si="24"/>
        <v>Revenue</v>
      </c>
      <c r="AL56" s="10" t="str">
        <f>""</f>
        <v/>
      </c>
      <c r="AM56" s="10" t="str">
        <f>""</f>
        <v/>
      </c>
      <c r="AN56" s="10" t="str">
        <f>""</f>
        <v/>
      </c>
      <c r="AO56" s="10" t="str">
        <f>""</f>
        <v/>
      </c>
    </row>
    <row r="57" spans="1:41" s="10" customFormat="1" ht="409.6">
      <c r="A57" s="9"/>
      <c r="B57" s="9"/>
      <c r="C57" s="9"/>
      <c r="D57" s="10" t="str">
        <f>"34840"</f>
        <v>34840</v>
      </c>
      <c r="E57" s="11" t="str">
        <f>""</f>
        <v/>
      </c>
      <c r="F57" s="11" t="str">
        <f t="shared" si="0"/>
        <v>372418</v>
      </c>
      <c r="G57" s="11" t="str">
        <f t="shared" si="1"/>
        <v>2017toJAN</v>
      </c>
      <c r="H57" s="11" t="str">
        <f t="shared" si="2"/>
        <v>CRSP06B</v>
      </c>
      <c r="I57" s="11" t="str">
        <f t="shared" si="3"/>
        <v>34</v>
      </c>
      <c r="J57" s="11" t="str">
        <f t="shared" si="4"/>
        <v>Creditor</v>
      </c>
      <c r="K57" s="11" t="str">
        <f>"CS000869"</f>
        <v>CS000869</v>
      </c>
      <c r="L57" s="10" t="str">
        <f>"BioRegional Development Group"</f>
        <v>BioRegional Development Group</v>
      </c>
      <c r="M57" s="12" t="str">
        <f>"27/01/2017 00:00:00"</f>
        <v>27/01/2017 00:00:00</v>
      </c>
      <c r="N57" s="12">
        <v>42762</v>
      </c>
      <c r="O57" s="10" t="str">
        <f>"C007919"</f>
        <v>C007919</v>
      </c>
      <c r="P57" s="13">
        <v>1200</v>
      </c>
      <c r="Q57" s="11" t="str">
        <f>"1200.0000"</f>
        <v>1200.0000</v>
      </c>
      <c r="R57" s="10" t="str">
        <f>"C0004591"</f>
        <v>C0004591</v>
      </c>
      <c r="S57" s="14" t="str">
        <f>"1440.0000"</f>
        <v>1440.0000</v>
      </c>
      <c r="T57" s="10">
        <v>29224</v>
      </c>
      <c r="U57" s="10">
        <v>1467</v>
      </c>
      <c r="V57" s="10" t="str">
        <f>"Services"</f>
        <v>Services</v>
      </c>
      <c r="W57" s="10" t="str">
        <f>"Supplies and Services"</f>
        <v>Supplies and Services</v>
      </c>
      <c r="X57" s="10" t="str">
        <f>VLOOKUP(U57,'[1]Account code lookup'!A:B,2,0)</f>
        <v>Consultancy</v>
      </c>
      <c r="Z57" s="10" t="str">
        <f>"Bicester Regeneration Projects"</f>
        <v>Bicester Regeneration Projects</v>
      </c>
      <c r="AA57" s="10" t="str">
        <f>"Commercial Development"</f>
        <v>Commercial Development</v>
      </c>
      <c r="AB57" s="10" t="str">
        <f>"2cdb"</f>
        <v>2cdb</v>
      </c>
      <c r="AD57" s="10" t="str">
        <f>"cdb01"</f>
        <v>cdb01</v>
      </c>
      <c r="AE57" s="10" t="str">
        <f>"Finance &amp; Procurement / Head of Finance &amp; Procurement"</f>
        <v>Finance &amp; Procurement / Head of Finance &amp; Procurement</v>
      </c>
      <c r="AG57" s="10" t="str">
        <f>"29224/1467"</f>
        <v>29224/1467</v>
      </c>
      <c r="AI57" s="10" t="str">
        <f>"14suse"</f>
        <v>14suse</v>
      </c>
      <c r="AJ57" s="15" t="str">
        <f>"Community engagement review of LEMUR project"</f>
        <v>Community engagement review of LEMUR project</v>
      </c>
      <c r="AK57" s="10" t="str">
        <f>"Revenue"</f>
        <v>Revenue</v>
      </c>
      <c r="AL57" s="10" t="str">
        <f>""</f>
        <v/>
      </c>
      <c r="AM57" s="10" t="str">
        <f>""</f>
        <v/>
      </c>
      <c r="AN57" s="10" t="str">
        <f>""</f>
        <v/>
      </c>
      <c r="AO57" s="10" t="str">
        <f>""</f>
        <v/>
      </c>
    </row>
    <row r="58" spans="1:41" s="10" customFormat="1" ht="409.6">
      <c r="A58" s="9" t="s">
        <v>36</v>
      </c>
      <c r="B58" s="9" t="s">
        <v>37</v>
      </c>
      <c r="C58" s="9" t="s">
        <v>38</v>
      </c>
      <c r="D58" s="10" t="str">
        <f>"27637"</f>
        <v>27637</v>
      </c>
      <c r="E58" s="11" t="str">
        <f>"36142"</f>
        <v>36142</v>
      </c>
      <c r="F58" s="11" t="str">
        <f t="shared" si="0"/>
        <v>372418</v>
      </c>
      <c r="G58" s="11" t="str">
        <f t="shared" si="1"/>
        <v>2017toJAN</v>
      </c>
      <c r="H58" s="11" t="str">
        <f t="shared" si="2"/>
        <v>CRSP06B</v>
      </c>
      <c r="I58" s="11" t="str">
        <f t="shared" si="3"/>
        <v>34</v>
      </c>
      <c r="J58" s="11" t="str">
        <f t="shared" si="4"/>
        <v>Creditor</v>
      </c>
      <c r="K58" s="11" t="str">
        <f>"CS001255"</f>
        <v>CS001255</v>
      </c>
      <c r="L58" s="10" t="str">
        <f>"Bourton Drain Services Ltd"</f>
        <v>Bourton Drain Services Ltd</v>
      </c>
      <c r="M58" s="12" t="str">
        <f t="shared" ref="M58:M63" si="37">"09/01/2017 00:00:00"</f>
        <v>09/01/2017 00:00:00</v>
      </c>
      <c r="N58" s="12">
        <v>42744</v>
      </c>
      <c r="O58" s="10" t="str">
        <f>"C007230"</f>
        <v>C007230</v>
      </c>
      <c r="P58" s="13">
        <v>600</v>
      </c>
      <c r="Q58" s="11" t="str">
        <f>"600.0000"</f>
        <v>600.0000</v>
      </c>
      <c r="R58" s="10" t="str">
        <f>"C0004332"</f>
        <v>C0004332</v>
      </c>
      <c r="S58" s="14" t="str">
        <f>"720.0000"</f>
        <v>720.0000</v>
      </c>
      <c r="T58" s="10">
        <v>40108</v>
      </c>
      <c r="U58" s="10">
        <v>4100</v>
      </c>
      <c r="V58" s="10" t="str">
        <f>"Capital Works"</f>
        <v>Capital Works</v>
      </c>
      <c r="W58" s="10" t="str">
        <f>"Capital Works"</f>
        <v>Capital Works</v>
      </c>
      <c r="X58" s="10" t="str">
        <f>VLOOKUP(U58,'[1]Account code lookup'!A:B,2,0)</f>
        <v>Contractors Capital Payments</v>
      </c>
      <c r="Z58" s="10" t="str">
        <f>"Capital Regen and Housing"</f>
        <v>Capital Regen and Housing</v>
      </c>
      <c r="AA58" s="10" t="str">
        <f>"Commercial Development Capital"</f>
        <v>Commercial Development Capital</v>
      </c>
      <c r="AB58" s="10" t="str">
        <f>"c2cdb"</f>
        <v>c2cdb</v>
      </c>
      <c r="AD58" s="10" t="str">
        <f>"ccdb02"</f>
        <v>ccdb02</v>
      </c>
      <c r="AE58" s="10" t="str">
        <f>"Regeneration &amp; Housing / Delivery Team"</f>
        <v>Regeneration &amp; Housing / Delivery Team</v>
      </c>
      <c r="AG58" s="10" t="str">
        <f>"40108/4100"</f>
        <v>40108/4100</v>
      </c>
      <c r="AI58" s="10" t="str">
        <f>"41cwrk"</f>
        <v>41cwrk</v>
      </c>
      <c r="AJ58" s="15" t="str">
        <f>"CCTV survey of the drains at Banbury Ambulance Station."</f>
        <v>CCTV survey of the drains at Banbury Ambulance Station.</v>
      </c>
      <c r="AK58" s="10" t="str">
        <f>"Capital"</f>
        <v>Capital</v>
      </c>
      <c r="AL58" s="10" t="str">
        <f>""</f>
        <v/>
      </c>
      <c r="AM58" s="10" t="str">
        <f>""</f>
        <v/>
      </c>
      <c r="AN58" s="10" t="str">
        <f>""</f>
        <v/>
      </c>
      <c r="AO58" s="10" t="str">
        <f>""</f>
        <v/>
      </c>
    </row>
    <row r="59" spans="1:41" s="10" customFormat="1" ht="409.6">
      <c r="A59" s="9"/>
      <c r="B59" s="9"/>
      <c r="C59" s="9"/>
      <c r="D59" s="10" t="str">
        <f>"27703"</f>
        <v>27703</v>
      </c>
      <c r="E59" s="11" t="str">
        <f>""</f>
        <v/>
      </c>
      <c r="F59" s="11" t="str">
        <f t="shared" si="0"/>
        <v>372418</v>
      </c>
      <c r="G59" s="11" t="str">
        <f t="shared" si="1"/>
        <v>2017toJAN</v>
      </c>
      <c r="H59" s="11" t="str">
        <f t="shared" si="2"/>
        <v>CRSP06B</v>
      </c>
      <c r="I59" s="11" t="str">
        <f t="shared" si="3"/>
        <v>34</v>
      </c>
      <c r="J59" s="11" t="str">
        <f t="shared" si="4"/>
        <v>Creditor</v>
      </c>
      <c r="K59" s="11" t="str">
        <f t="shared" ref="K59:K71" si="38">"CS001274"</f>
        <v>CS001274</v>
      </c>
      <c r="L59" s="10" t="str">
        <f t="shared" ref="L59:L71" si="39">"Bristow &amp; Sutor"</f>
        <v>Bristow &amp; Sutor</v>
      </c>
      <c r="M59" s="12" t="str">
        <f t="shared" si="37"/>
        <v>09/01/2017 00:00:00</v>
      </c>
      <c r="N59" s="12">
        <v>42744</v>
      </c>
      <c r="O59" s="10" t="str">
        <f>"C007597"</f>
        <v>C007597</v>
      </c>
      <c r="P59" s="13">
        <v>0</v>
      </c>
      <c r="Q59" s="11" t="str">
        <f>"0.0000"</f>
        <v>0.0000</v>
      </c>
      <c r="R59" s="10" t="str">
        <f>"C0004333"</f>
        <v>C0004333</v>
      </c>
      <c r="S59" s="14" t="str">
        <f>"835.5700"</f>
        <v>835.5700</v>
      </c>
      <c r="T59" s="10">
        <v>21000</v>
      </c>
      <c r="U59" s="10">
        <v>1760</v>
      </c>
      <c r="V59" s="10" t="str">
        <f t="shared" ref="V59:V72" si="40">"Professional Fees"</f>
        <v>Professional Fees</v>
      </c>
      <c r="W59" s="10" t="str">
        <f t="shared" ref="W59:W72" si="41">"Third Party Payments"</f>
        <v>Third Party Payments</v>
      </c>
      <c r="X59" s="10" t="str">
        <f>VLOOKUP(U59,'[1]Account code lookup'!A:B,2,0)</f>
        <v>Bailiffs' Fees</v>
      </c>
      <c r="Z59" s="10" t="str">
        <f t="shared" ref="Z59:Z66" si="42">"Finance and Procurement"</f>
        <v>Finance and Procurement</v>
      </c>
      <c r="AA59" s="10" t="str">
        <f t="shared" ref="AA59:AA66" si="43">"Chief Finance Officer"</f>
        <v>Chief Finance Officer</v>
      </c>
      <c r="AB59" s="10" t="str">
        <f t="shared" ref="AB59:AB66" si="44">"3cfo"</f>
        <v>3cfo</v>
      </c>
      <c r="AD59" s="10" t="str">
        <f t="shared" ref="AD59:AD66" si="45">"cfo02"</f>
        <v>cfo02</v>
      </c>
      <c r="AE59" s="10" t="str">
        <f>"Finance &amp; Procurement / Finance"</f>
        <v>Finance &amp; Procurement / Finance</v>
      </c>
      <c r="AG59" s="10" t="str">
        <f>"21000/1760"</f>
        <v>21000/1760</v>
      </c>
      <c r="AI59" s="10" t="str">
        <f t="shared" ref="AI59:AI72" si="46">"17tpp"</f>
        <v>17tpp</v>
      </c>
      <c r="AJ59" s="15" t="str">
        <f>""</f>
        <v/>
      </c>
      <c r="AK59" s="10" t="str">
        <f t="shared" ref="AK59:AK72" si="47">"Revenue"</f>
        <v>Revenue</v>
      </c>
      <c r="AL59" s="10" t="str">
        <f>""</f>
        <v/>
      </c>
      <c r="AM59" s="10" t="str">
        <f>""</f>
        <v/>
      </c>
      <c r="AN59" s="10" t="str">
        <f>""</f>
        <v/>
      </c>
      <c r="AO59" s="10" t="str">
        <f>""</f>
        <v/>
      </c>
    </row>
    <row r="60" spans="1:41" s="10" customFormat="1" ht="409.6">
      <c r="A60" s="9"/>
      <c r="B60" s="9"/>
      <c r="C60" s="9"/>
      <c r="D60" s="10" t="str">
        <f>"28017"</f>
        <v>28017</v>
      </c>
      <c r="E60" s="11" t="str">
        <f>""</f>
        <v/>
      </c>
      <c r="F60" s="11" t="str">
        <f t="shared" ref="F60:F121" si="48">"372418"</f>
        <v>372418</v>
      </c>
      <c r="G60" s="11" t="str">
        <f t="shared" ref="G60:G121" si="49">"2017toJAN"</f>
        <v>2017toJAN</v>
      </c>
      <c r="H60" s="11" t="str">
        <f t="shared" ref="H60:H121" si="50">"CRSP06B"</f>
        <v>CRSP06B</v>
      </c>
      <c r="I60" s="11" t="str">
        <f t="shared" ref="I60:I121" si="51">"34"</f>
        <v>34</v>
      </c>
      <c r="J60" s="11" t="str">
        <f t="shared" ref="J60:J121" si="52">"Creditor"</f>
        <v>Creditor</v>
      </c>
      <c r="K60" s="11" t="str">
        <f t="shared" si="38"/>
        <v>CS001274</v>
      </c>
      <c r="L60" s="10" t="str">
        <f t="shared" si="39"/>
        <v>Bristow &amp; Sutor</v>
      </c>
      <c r="M60" s="12" t="str">
        <f t="shared" si="37"/>
        <v>09/01/2017 00:00:00</v>
      </c>
      <c r="N60" s="12">
        <v>42744</v>
      </c>
      <c r="O60" s="10" t="str">
        <f>"C007598"</f>
        <v>C007598</v>
      </c>
      <c r="P60" s="13">
        <v>0</v>
      </c>
      <c r="Q60" s="11" t="str">
        <f>"0.0000"</f>
        <v>0.0000</v>
      </c>
      <c r="R60" s="10" t="str">
        <f>"C0004333"</f>
        <v>C0004333</v>
      </c>
      <c r="S60" s="14" t="str">
        <f>"835.5700"</f>
        <v>835.5700</v>
      </c>
      <c r="T60" s="10">
        <v>21000</v>
      </c>
      <c r="U60" s="10">
        <v>1760</v>
      </c>
      <c r="V60" s="10" t="str">
        <f t="shared" si="40"/>
        <v>Professional Fees</v>
      </c>
      <c r="W60" s="10" t="str">
        <f t="shared" si="41"/>
        <v>Third Party Payments</v>
      </c>
      <c r="X60" s="10" t="str">
        <f>VLOOKUP(U60,'[1]Account code lookup'!A:B,2,0)</f>
        <v>Bailiffs' Fees</v>
      </c>
      <c r="Z60" s="10" t="str">
        <f t="shared" si="42"/>
        <v>Finance and Procurement</v>
      </c>
      <c r="AA60" s="10" t="str">
        <f t="shared" si="43"/>
        <v>Chief Finance Officer</v>
      </c>
      <c r="AB60" s="10" t="str">
        <f t="shared" si="44"/>
        <v>3cfo</v>
      </c>
      <c r="AD60" s="10" t="str">
        <f t="shared" si="45"/>
        <v>cfo02</v>
      </c>
      <c r="AE60" s="10" t="str">
        <f>"Finance &amp; Procurement / Finance"</f>
        <v>Finance &amp; Procurement / Finance</v>
      </c>
      <c r="AG60" s="10" t="str">
        <f>"21000/1760"</f>
        <v>21000/1760</v>
      </c>
      <c r="AI60" s="10" t="str">
        <f t="shared" si="46"/>
        <v>17tpp</v>
      </c>
      <c r="AJ60" s="15" t="str">
        <f>""</f>
        <v/>
      </c>
      <c r="AK60" s="10" t="str">
        <f t="shared" si="47"/>
        <v>Revenue</v>
      </c>
      <c r="AL60" s="10" t="str">
        <f>""</f>
        <v/>
      </c>
      <c r="AM60" s="10" t="str">
        <f>""</f>
        <v/>
      </c>
      <c r="AN60" s="10" t="str">
        <f>""</f>
        <v/>
      </c>
      <c r="AO60" s="10" t="str">
        <f>""</f>
        <v/>
      </c>
    </row>
    <row r="61" spans="1:41" s="10" customFormat="1" ht="409.6">
      <c r="A61" s="9"/>
      <c r="B61" s="9"/>
      <c r="C61" s="9"/>
      <c r="D61" s="10" t="str">
        <f>"28018"</f>
        <v>28018</v>
      </c>
      <c r="E61" s="11" t="str">
        <f>""</f>
        <v/>
      </c>
      <c r="F61" s="11" t="str">
        <f t="shared" si="48"/>
        <v>372418</v>
      </c>
      <c r="G61" s="11" t="str">
        <f t="shared" si="49"/>
        <v>2017toJAN</v>
      </c>
      <c r="H61" s="11" t="str">
        <f t="shared" si="50"/>
        <v>CRSP06B</v>
      </c>
      <c r="I61" s="11" t="str">
        <f t="shared" si="51"/>
        <v>34</v>
      </c>
      <c r="J61" s="11" t="str">
        <f t="shared" si="52"/>
        <v>Creditor</v>
      </c>
      <c r="K61" s="11" t="str">
        <f t="shared" si="38"/>
        <v>CS001274</v>
      </c>
      <c r="L61" s="10" t="str">
        <f t="shared" si="39"/>
        <v>Bristow &amp; Sutor</v>
      </c>
      <c r="M61" s="12" t="str">
        <f t="shared" si="37"/>
        <v>09/01/2017 00:00:00</v>
      </c>
      <c r="N61" s="12">
        <v>42744</v>
      </c>
      <c r="O61" s="10" t="str">
        <f>"C007598"</f>
        <v>C007598</v>
      </c>
      <c r="P61" s="13">
        <v>144.08000000000001</v>
      </c>
      <c r="Q61" s="11" t="str">
        <f>"144.0800"</f>
        <v>144.0800</v>
      </c>
      <c r="R61" s="10" t="str">
        <f>"C0004333"</f>
        <v>C0004333</v>
      </c>
      <c r="S61" s="14" t="str">
        <f>"835.5700"</f>
        <v>835.5700</v>
      </c>
      <c r="T61" s="10">
        <v>21000</v>
      </c>
      <c r="U61" s="10">
        <v>1760</v>
      </c>
      <c r="V61" s="10" t="str">
        <f t="shared" si="40"/>
        <v>Professional Fees</v>
      </c>
      <c r="W61" s="10" t="str">
        <f t="shared" si="41"/>
        <v>Third Party Payments</v>
      </c>
      <c r="X61" s="10" t="str">
        <f>VLOOKUP(U61,'[1]Account code lookup'!A:B,2,0)</f>
        <v>Bailiffs' Fees</v>
      </c>
      <c r="Z61" s="10" t="str">
        <f t="shared" si="42"/>
        <v>Finance and Procurement</v>
      </c>
      <c r="AA61" s="10" t="str">
        <f t="shared" si="43"/>
        <v>Chief Finance Officer</v>
      </c>
      <c r="AB61" s="10" t="str">
        <f t="shared" si="44"/>
        <v>3cfo</v>
      </c>
      <c r="AD61" s="10" t="str">
        <f t="shared" si="45"/>
        <v>cfo02</v>
      </c>
      <c r="AE61" s="10" t="str">
        <f>"Finance &amp; Procurement / Finance"</f>
        <v>Finance &amp; Procurement / Finance</v>
      </c>
      <c r="AG61" s="10" t="str">
        <f>"21000/1760"</f>
        <v>21000/1760</v>
      </c>
      <c r="AI61" s="10" t="str">
        <f t="shared" si="46"/>
        <v>17tpp</v>
      </c>
      <c r="AJ61" s="15" t="str">
        <f>""</f>
        <v/>
      </c>
      <c r="AK61" s="10" t="str">
        <f t="shared" si="47"/>
        <v>Revenue</v>
      </c>
      <c r="AL61" s="10" t="str">
        <f>""</f>
        <v/>
      </c>
      <c r="AM61" s="10" t="str">
        <f>""</f>
        <v/>
      </c>
      <c r="AN61" s="10" t="str">
        <f>""</f>
        <v/>
      </c>
      <c r="AO61" s="10" t="str">
        <f>""</f>
        <v/>
      </c>
    </row>
    <row r="62" spans="1:41" s="10" customFormat="1" ht="409.6">
      <c r="A62" s="9"/>
      <c r="B62" s="9"/>
      <c r="C62" s="9"/>
      <c r="D62" s="10" t="str">
        <f>"28019"</f>
        <v>28019</v>
      </c>
      <c r="E62" s="11" t="str">
        <f>""</f>
        <v/>
      </c>
      <c r="F62" s="11" t="str">
        <f t="shared" si="48"/>
        <v>372418</v>
      </c>
      <c r="G62" s="11" t="str">
        <f t="shared" si="49"/>
        <v>2017toJAN</v>
      </c>
      <c r="H62" s="11" t="str">
        <f t="shared" si="50"/>
        <v>CRSP06B</v>
      </c>
      <c r="I62" s="11" t="str">
        <f t="shared" si="51"/>
        <v>34</v>
      </c>
      <c r="J62" s="11" t="str">
        <f t="shared" si="52"/>
        <v>Creditor</v>
      </c>
      <c r="K62" s="11" t="str">
        <f t="shared" si="38"/>
        <v>CS001274</v>
      </c>
      <c r="L62" s="10" t="str">
        <f t="shared" si="39"/>
        <v>Bristow &amp; Sutor</v>
      </c>
      <c r="M62" s="12" t="str">
        <f t="shared" si="37"/>
        <v>09/01/2017 00:00:00</v>
      </c>
      <c r="N62" s="12">
        <v>42744</v>
      </c>
      <c r="O62" s="10" t="str">
        <f>"C007569"</f>
        <v>C007569</v>
      </c>
      <c r="P62" s="13">
        <v>2.5</v>
      </c>
      <c r="Q62" s="11" t="str">
        <f>"2.5000"</f>
        <v>2.5000</v>
      </c>
      <c r="R62" s="10" t="str">
        <f>"C0004333"</f>
        <v>C0004333</v>
      </c>
      <c r="S62" s="14" t="str">
        <f>"835.5700"</f>
        <v>835.5700</v>
      </c>
      <c r="T62" s="10">
        <v>21747</v>
      </c>
      <c r="U62" s="10">
        <v>1760</v>
      </c>
      <c r="V62" s="10" t="str">
        <f t="shared" si="40"/>
        <v>Professional Fees</v>
      </c>
      <c r="W62" s="10" t="str">
        <f t="shared" si="41"/>
        <v>Third Party Payments</v>
      </c>
      <c r="X62" s="10" t="str">
        <f>VLOOKUP(U62,'[1]Account code lookup'!A:B,2,0)</f>
        <v>Bailiffs' Fees</v>
      </c>
      <c r="Z62" s="10" t="str">
        <f t="shared" si="42"/>
        <v>Finance and Procurement</v>
      </c>
      <c r="AA62" s="10" t="str">
        <f t="shared" si="43"/>
        <v>Chief Finance Officer</v>
      </c>
      <c r="AB62" s="10" t="str">
        <f t="shared" si="44"/>
        <v>3cfo</v>
      </c>
      <c r="AD62" s="10" t="str">
        <f t="shared" si="45"/>
        <v>cfo02</v>
      </c>
      <c r="AE62" s="10" t="str">
        <f>"Finance &amp; Procurement / Revenues"</f>
        <v>Finance &amp; Procurement / Revenues</v>
      </c>
      <c r="AG62" s="10" t="str">
        <f>"21747/1760"</f>
        <v>21747/1760</v>
      </c>
      <c r="AI62" s="10" t="str">
        <f t="shared" si="46"/>
        <v>17tpp</v>
      </c>
      <c r="AJ62" s="15" t="str">
        <f>"Collection of Ctax, NDR, Overpayment of Housing Benefit &amp; Sundry Debtor arrears 2016"</f>
        <v>Collection of Ctax, NDR, Overpayment of Housing Benefit &amp; Sundry Debtor arrears 2016</v>
      </c>
      <c r="AK62" s="10" t="str">
        <f t="shared" si="47"/>
        <v>Revenue</v>
      </c>
      <c r="AL62" s="10" t="str">
        <f>""</f>
        <v/>
      </c>
      <c r="AM62" s="10" t="str">
        <f>""</f>
        <v/>
      </c>
      <c r="AN62" s="10" t="str">
        <f>""</f>
        <v/>
      </c>
      <c r="AO62" s="10" t="str">
        <f>""</f>
        <v/>
      </c>
    </row>
    <row r="63" spans="1:41" s="10" customFormat="1" ht="409.6">
      <c r="A63" s="9"/>
      <c r="B63" s="9"/>
      <c r="C63" s="9"/>
      <c r="D63" s="10" t="str">
        <f>"28194"</f>
        <v>28194</v>
      </c>
      <c r="E63" s="11" t="str">
        <f>""</f>
        <v/>
      </c>
      <c r="F63" s="11" t="str">
        <f t="shared" si="48"/>
        <v>372418</v>
      </c>
      <c r="G63" s="11" t="str">
        <f t="shared" si="49"/>
        <v>2017toJAN</v>
      </c>
      <c r="H63" s="11" t="str">
        <f t="shared" si="50"/>
        <v>CRSP06B</v>
      </c>
      <c r="I63" s="11" t="str">
        <f t="shared" si="51"/>
        <v>34</v>
      </c>
      <c r="J63" s="11" t="str">
        <f t="shared" si="52"/>
        <v>Creditor</v>
      </c>
      <c r="K63" s="11" t="str">
        <f t="shared" si="38"/>
        <v>CS001274</v>
      </c>
      <c r="L63" s="10" t="str">
        <f t="shared" si="39"/>
        <v>Bristow &amp; Sutor</v>
      </c>
      <c r="M63" s="12" t="str">
        <f t="shared" si="37"/>
        <v>09/01/2017 00:00:00</v>
      </c>
      <c r="N63" s="12">
        <v>42744</v>
      </c>
      <c r="O63" s="10" t="str">
        <f>"C007570"</f>
        <v>C007570</v>
      </c>
      <c r="P63" s="13">
        <v>8</v>
      </c>
      <c r="Q63" s="11" t="str">
        <f>"8.0000"</f>
        <v>8.0000</v>
      </c>
      <c r="R63" s="10" t="str">
        <f>"C0004333"</f>
        <v>C0004333</v>
      </c>
      <c r="S63" s="14" t="str">
        <f>"835.5700"</f>
        <v>835.5700</v>
      </c>
      <c r="T63" s="10">
        <v>21747</v>
      </c>
      <c r="U63" s="10">
        <v>1760</v>
      </c>
      <c r="V63" s="10" t="str">
        <f t="shared" si="40"/>
        <v>Professional Fees</v>
      </c>
      <c r="W63" s="10" t="str">
        <f t="shared" si="41"/>
        <v>Third Party Payments</v>
      </c>
      <c r="X63" s="10" t="str">
        <f>VLOOKUP(U63,'[1]Account code lookup'!A:B,2,0)</f>
        <v>Bailiffs' Fees</v>
      </c>
      <c r="Z63" s="10" t="str">
        <f t="shared" si="42"/>
        <v>Finance and Procurement</v>
      </c>
      <c r="AA63" s="10" t="str">
        <f t="shared" si="43"/>
        <v>Chief Finance Officer</v>
      </c>
      <c r="AB63" s="10" t="str">
        <f t="shared" si="44"/>
        <v>3cfo</v>
      </c>
      <c r="AD63" s="10" t="str">
        <f t="shared" si="45"/>
        <v>cfo02</v>
      </c>
      <c r="AE63" s="10" t="str">
        <f>"Finance &amp; Procurement / Revenues"</f>
        <v>Finance &amp; Procurement / Revenues</v>
      </c>
      <c r="AG63" s="10" t="str">
        <f>"21747/1760"</f>
        <v>21747/1760</v>
      </c>
      <c r="AI63" s="10" t="str">
        <f t="shared" si="46"/>
        <v>17tpp</v>
      </c>
      <c r="AJ63" s="15" t="str">
        <f>"Collection of Ctax, NDR, Overpayment of Housing Benefit &amp; Sundry Debtor arrears 2016"</f>
        <v>Collection of Ctax, NDR, Overpayment of Housing Benefit &amp; Sundry Debtor arrears 2016</v>
      </c>
      <c r="AK63" s="10" t="str">
        <f t="shared" si="47"/>
        <v>Revenue</v>
      </c>
      <c r="AL63" s="10" t="str">
        <f>""</f>
        <v/>
      </c>
      <c r="AM63" s="10" t="str">
        <f>""</f>
        <v/>
      </c>
      <c r="AN63" s="10" t="str">
        <f>""</f>
        <v/>
      </c>
      <c r="AO63" s="10" t="str">
        <f>""</f>
        <v/>
      </c>
    </row>
    <row r="64" spans="1:41" s="10" customFormat="1" ht="409.6">
      <c r="A64" s="9"/>
      <c r="B64" s="9"/>
      <c r="C64" s="9"/>
      <c r="D64" s="10" t="str">
        <f>"28195"</f>
        <v>28195</v>
      </c>
      <c r="E64" s="11" t="str">
        <f>""</f>
        <v/>
      </c>
      <c r="F64" s="11" t="str">
        <f t="shared" si="48"/>
        <v>372418</v>
      </c>
      <c r="G64" s="11" t="str">
        <f t="shared" si="49"/>
        <v>2017toJAN</v>
      </c>
      <c r="H64" s="11" t="str">
        <f t="shared" si="50"/>
        <v>CRSP06B</v>
      </c>
      <c r="I64" s="11" t="str">
        <f t="shared" si="51"/>
        <v>34</v>
      </c>
      <c r="J64" s="11" t="str">
        <f t="shared" si="52"/>
        <v>Creditor</v>
      </c>
      <c r="K64" s="11" t="str">
        <f t="shared" si="38"/>
        <v>CS001274</v>
      </c>
      <c r="L64" s="10" t="str">
        <f t="shared" si="39"/>
        <v>Bristow &amp; Sutor</v>
      </c>
      <c r="M64" s="12" t="str">
        <f>"16/01/2017 00:00:00"</f>
        <v>16/01/2017 00:00:00</v>
      </c>
      <c r="N64" s="12">
        <v>42751</v>
      </c>
      <c r="O64" s="10" t="str">
        <f>"C007595"</f>
        <v>C007595</v>
      </c>
      <c r="P64" s="13">
        <v>0</v>
      </c>
      <c r="Q64" s="11" t="str">
        <f>"0.0000"</f>
        <v>0.0000</v>
      </c>
      <c r="R64" s="10" t="str">
        <f>"C0004434"</f>
        <v>C0004434</v>
      </c>
      <c r="S64" s="14" t="str">
        <f>"1027.4200"</f>
        <v>1027.4200</v>
      </c>
      <c r="T64" s="10">
        <v>21000</v>
      </c>
      <c r="U64" s="10">
        <v>1760</v>
      </c>
      <c r="V64" s="10" t="str">
        <f t="shared" si="40"/>
        <v>Professional Fees</v>
      </c>
      <c r="W64" s="10" t="str">
        <f t="shared" si="41"/>
        <v>Third Party Payments</v>
      </c>
      <c r="X64" s="10" t="str">
        <f>VLOOKUP(U64,'[1]Account code lookup'!A:B,2,0)</f>
        <v>Bailiffs' Fees</v>
      </c>
      <c r="Z64" s="10" t="str">
        <f t="shared" si="42"/>
        <v>Finance and Procurement</v>
      </c>
      <c r="AA64" s="10" t="str">
        <f t="shared" si="43"/>
        <v>Chief Finance Officer</v>
      </c>
      <c r="AB64" s="10" t="str">
        <f t="shared" si="44"/>
        <v>3cfo</v>
      </c>
      <c r="AD64" s="10" t="str">
        <f t="shared" si="45"/>
        <v>cfo02</v>
      </c>
      <c r="AE64" s="10" t="str">
        <f>"Finance &amp; Procurement / Finance"</f>
        <v>Finance &amp; Procurement / Finance</v>
      </c>
      <c r="AG64" s="10" t="str">
        <f>"21000/1760"</f>
        <v>21000/1760</v>
      </c>
      <c r="AI64" s="10" t="str">
        <f t="shared" si="46"/>
        <v>17tpp</v>
      </c>
      <c r="AJ64" s="15" t="str">
        <f>""</f>
        <v/>
      </c>
      <c r="AK64" s="10" t="str">
        <f t="shared" si="47"/>
        <v>Revenue</v>
      </c>
      <c r="AL64" s="10" t="str">
        <f>""</f>
        <v/>
      </c>
      <c r="AM64" s="10" t="str">
        <f>""</f>
        <v/>
      </c>
      <c r="AN64" s="10" t="str">
        <f>""</f>
        <v/>
      </c>
      <c r="AO64" s="10" t="str">
        <f>""</f>
        <v/>
      </c>
    </row>
    <row r="65" spans="1:41" s="10" customFormat="1" ht="409.6">
      <c r="A65" s="9"/>
      <c r="B65" s="9"/>
      <c r="C65" s="9"/>
      <c r="D65" s="10" t="str">
        <f>"28318"</f>
        <v>28318</v>
      </c>
      <c r="E65" s="11" t="str">
        <f>""</f>
        <v/>
      </c>
      <c r="F65" s="11" t="str">
        <f t="shared" si="48"/>
        <v>372418</v>
      </c>
      <c r="G65" s="11" t="str">
        <f t="shared" si="49"/>
        <v>2017toJAN</v>
      </c>
      <c r="H65" s="11" t="str">
        <f t="shared" si="50"/>
        <v>CRSP06B</v>
      </c>
      <c r="I65" s="11" t="str">
        <f t="shared" si="51"/>
        <v>34</v>
      </c>
      <c r="J65" s="11" t="str">
        <f t="shared" si="52"/>
        <v>Creditor</v>
      </c>
      <c r="K65" s="11" t="str">
        <f t="shared" si="38"/>
        <v>CS001274</v>
      </c>
      <c r="L65" s="10" t="str">
        <f t="shared" si="39"/>
        <v>Bristow &amp; Sutor</v>
      </c>
      <c r="M65" s="12" t="str">
        <f>"16/01/2017 00:00:00"</f>
        <v>16/01/2017 00:00:00</v>
      </c>
      <c r="N65" s="12">
        <v>42751</v>
      </c>
      <c r="O65" s="10" t="str">
        <f>"C007596"</f>
        <v>C007596</v>
      </c>
      <c r="P65" s="13">
        <v>0</v>
      </c>
      <c r="Q65" s="11" t="str">
        <f>"0.0000"</f>
        <v>0.0000</v>
      </c>
      <c r="R65" s="10" t="str">
        <f>"C0004434"</f>
        <v>C0004434</v>
      </c>
      <c r="S65" s="14" t="str">
        <f>"1027.4200"</f>
        <v>1027.4200</v>
      </c>
      <c r="T65" s="10">
        <v>21000</v>
      </c>
      <c r="U65" s="10">
        <v>1760</v>
      </c>
      <c r="V65" s="10" t="str">
        <f t="shared" si="40"/>
        <v>Professional Fees</v>
      </c>
      <c r="W65" s="10" t="str">
        <f t="shared" si="41"/>
        <v>Third Party Payments</v>
      </c>
      <c r="X65" s="10" t="str">
        <f>VLOOKUP(U65,'[1]Account code lookup'!A:B,2,0)</f>
        <v>Bailiffs' Fees</v>
      </c>
      <c r="Z65" s="10" t="str">
        <f t="shared" si="42"/>
        <v>Finance and Procurement</v>
      </c>
      <c r="AA65" s="10" t="str">
        <f t="shared" si="43"/>
        <v>Chief Finance Officer</v>
      </c>
      <c r="AB65" s="10" t="str">
        <f t="shared" si="44"/>
        <v>3cfo</v>
      </c>
      <c r="AD65" s="10" t="str">
        <f t="shared" si="45"/>
        <v>cfo02</v>
      </c>
      <c r="AE65" s="10" t="str">
        <f>"Finance &amp; Procurement / Finance"</f>
        <v>Finance &amp; Procurement / Finance</v>
      </c>
      <c r="AG65" s="10" t="str">
        <f>"21000/1760"</f>
        <v>21000/1760</v>
      </c>
      <c r="AI65" s="10" t="str">
        <f t="shared" si="46"/>
        <v>17tpp</v>
      </c>
      <c r="AJ65" s="15" t="str">
        <f>""</f>
        <v/>
      </c>
      <c r="AK65" s="10" t="str">
        <f t="shared" si="47"/>
        <v>Revenue</v>
      </c>
      <c r="AL65" s="10" t="str">
        <f>""</f>
        <v/>
      </c>
      <c r="AM65" s="10" t="str">
        <f>""</f>
        <v/>
      </c>
      <c r="AN65" s="10" t="str">
        <f>""</f>
        <v/>
      </c>
      <c r="AO65" s="10" t="str">
        <f>""</f>
        <v/>
      </c>
    </row>
    <row r="66" spans="1:41" s="10" customFormat="1" ht="409.6">
      <c r="A66" s="9"/>
      <c r="B66" s="9"/>
      <c r="C66" s="9"/>
      <c r="D66" s="10" t="str">
        <f>"28453"</f>
        <v>28453</v>
      </c>
      <c r="E66" s="11" t="str">
        <f>""</f>
        <v/>
      </c>
      <c r="F66" s="11" t="str">
        <f t="shared" si="48"/>
        <v>372418</v>
      </c>
      <c r="G66" s="11" t="str">
        <f t="shared" si="49"/>
        <v>2017toJAN</v>
      </c>
      <c r="H66" s="11" t="str">
        <f t="shared" si="50"/>
        <v>CRSP06B</v>
      </c>
      <c r="I66" s="11" t="str">
        <f t="shared" si="51"/>
        <v>34</v>
      </c>
      <c r="J66" s="11" t="str">
        <f t="shared" si="52"/>
        <v>Creditor</v>
      </c>
      <c r="K66" s="11" t="str">
        <f t="shared" si="38"/>
        <v>CS001274</v>
      </c>
      <c r="L66" s="10" t="str">
        <f t="shared" si="39"/>
        <v>Bristow &amp; Sutor</v>
      </c>
      <c r="M66" s="12" t="str">
        <f>"16/01/2017 00:00:00"</f>
        <v>16/01/2017 00:00:00</v>
      </c>
      <c r="N66" s="12">
        <v>42751</v>
      </c>
      <c r="O66" s="10" t="str">
        <f>"C007571"</f>
        <v>C007571</v>
      </c>
      <c r="P66" s="13">
        <v>138.36000000000001</v>
      </c>
      <c r="Q66" s="11" t="str">
        <f>"138.3600"</f>
        <v>138.3600</v>
      </c>
      <c r="R66" s="10" t="str">
        <f>"C0004434"</f>
        <v>C0004434</v>
      </c>
      <c r="S66" s="14" t="str">
        <f>"1027.4200"</f>
        <v>1027.4200</v>
      </c>
      <c r="T66" s="10">
        <v>21747</v>
      </c>
      <c r="U66" s="10">
        <v>1760</v>
      </c>
      <c r="V66" s="10" t="str">
        <f t="shared" si="40"/>
        <v>Professional Fees</v>
      </c>
      <c r="W66" s="10" t="str">
        <f t="shared" si="41"/>
        <v>Third Party Payments</v>
      </c>
      <c r="X66" s="10" t="str">
        <f>VLOOKUP(U66,'[1]Account code lookup'!A:B,2,0)</f>
        <v>Bailiffs' Fees</v>
      </c>
      <c r="Z66" s="10" t="str">
        <f t="shared" si="42"/>
        <v>Finance and Procurement</v>
      </c>
      <c r="AA66" s="10" t="str">
        <f t="shared" si="43"/>
        <v>Chief Finance Officer</v>
      </c>
      <c r="AB66" s="10" t="str">
        <f t="shared" si="44"/>
        <v>3cfo</v>
      </c>
      <c r="AD66" s="10" t="str">
        <f t="shared" si="45"/>
        <v>cfo02</v>
      </c>
      <c r="AE66" s="10" t="str">
        <f>"Finance &amp; Procurement / Revenues"</f>
        <v>Finance &amp; Procurement / Revenues</v>
      </c>
      <c r="AG66" s="10" t="str">
        <f>"21747/1760"</f>
        <v>21747/1760</v>
      </c>
      <c r="AI66" s="10" t="str">
        <f t="shared" si="46"/>
        <v>17tpp</v>
      </c>
      <c r="AJ66" s="15" t="str">
        <f>"Collection of Ctax, NDR, Overpayment of Housing Benefit &amp; Sundry Debtor arrears 2016"</f>
        <v>Collection of Ctax, NDR, Overpayment of Housing Benefit &amp; Sundry Debtor arrears 2016</v>
      </c>
      <c r="AK66" s="10" t="str">
        <f t="shared" si="47"/>
        <v>Revenue</v>
      </c>
      <c r="AL66" s="10" t="str">
        <f>""</f>
        <v/>
      </c>
      <c r="AM66" s="10" t="str">
        <f>""</f>
        <v/>
      </c>
      <c r="AN66" s="10" t="str">
        <f>""</f>
        <v/>
      </c>
      <c r="AO66" s="10" t="str">
        <f>""</f>
        <v/>
      </c>
    </row>
    <row r="67" spans="1:41" s="10" customFormat="1" ht="409.6">
      <c r="A67" s="9"/>
      <c r="B67" s="9"/>
      <c r="C67" s="9"/>
      <c r="D67" s="10" t="str">
        <f>"28454"</f>
        <v>28454</v>
      </c>
      <c r="E67" s="11" t="str">
        <f>""</f>
        <v/>
      </c>
      <c r="F67" s="11" t="str">
        <f t="shared" si="48"/>
        <v>372418</v>
      </c>
      <c r="G67" s="11" t="str">
        <f t="shared" si="49"/>
        <v>2017toJAN</v>
      </c>
      <c r="H67" s="11" t="str">
        <f t="shared" si="50"/>
        <v>CRSP06B</v>
      </c>
      <c r="I67" s="11" t="str">
        <f t="shared" si="51"/>
        <v>34</v>
      </c>
      <c r="J67" s="11" t="str">
        <f t="shared" si="52"/>
        <v>Creditor</v>
      </c>
      <c r="K67" s="11" t="str">
        <f t="shared" si="38"/>
        <v>CS001274</v>
      </c>
      <c r="L67" s="10" t="str">
        <f t="shared" si="39"/>
        <v>Bristow &amp; Sutor</v>
      </c>
      <c r="M67" s="12" t="str">
        <f>"16/01/2017 00:00:00"</f>
        <v>16/01/2017 00:00:00</v>
      </c>
      <c r="N67" s="12">
        <v>42751</v>
      </c>
      <c r="O67" s="10" t="str">
        <f>"C007644"</f>
        <v>C007644</v>
      </c>
      <c r="P67" s="13">
        <v>34</v>
      </c>
      <c r="Q67" s="11" t="str">
        <f>"34.0000"</f>
        <v>34.0000</v>
      </c>
      <c r="R67" s="10" t="str">
        <f>"C0004434"</f>
        <v>C0004434</v>
      </c>
      <c r="S67" s="14" t="str">
        <f>"1027.4200"</f>
        <v>1027.4200</v>
      </c>
      <c r="T67" s="10">
        <v>27010</v>
      </c>
      <c r="U67" s="10">
        <v>1760</v>
      </c>
      <c r="V67" s="10" t="str">
        <f t="shared" si="40"/>
        <v>Professional Fees</v>
      </c>
      <c r="W67" s="10" t="str">
        <f t="shared" si="41"/>
        <v>Third Party Payments</v>
      </c>
      <c r="X67" s="10" t="str">
        <f>VLOOKUP(U67,'[1]Account code lookup'!A:B,2,0)</f>
        <v>Bailiffs' Fees</v>
      </c>
      <c r="Z67" s="10" t="str">
        <f>"Community Services"</f>
        <v>Community Services</v>
      </c>
      <c r="AA67" s="10" t="str">
        <f>"Operations and Delivery"</f>
        <v>Operations and Delivery</v>
      </c>
      <c r="AB67" s="10" t="str">
        <f>"5oad"</f>
        <v>5oad</v>
      </c>
      <c r="AD67" s="10" t="str">
        <f>"oad01"</f>
        <v>oad01</v>
      </c>
      <c r="AE67" s="10" t="str">
        <f>"Finance &amp; Procurement / Head of Finance &amp; Procurement"</f>
        <v>Finance &amp; Procurement / Head of Finance &amp; Procurement</v>
      </c>
      <c r="AG67" s="10" t="str">
        <f>"27010/1760"</f>
        <v>27010/1760</v>
      </c>
      <c r="AI67" s="10" t="str">
        <f t="shared" si="46"/>
        <v>17tpp</v>
      </c>
      <c r="AJ67" s="15" t="str">
        <f>"Annual collection of sundry debt for ECNs April 2016 - March 2017"</f>
        <v>Annual collection of sundry debt for ECNs April 2016 - March 2017</v>
      </c>
      <c r="AK67" s="10" t="str">
        <f t="shared" si="47"/>
        <v>Revenue</v>
      </c>
      <c r="AL67" s="10" t="str">
        <f>""</f>
        <v/>
      </c>
      <c r="AM67" s="10" t="str">
        <f>""</f>
        <v/>
      </c>
      <c r="AN67" s="10" t="str">
        <f>""</f>
        <v/>
      </c>
      <c r="AO67" s="10" t="str">
        <f>""</f>
        <v/>
      </c>
    </row>
    <row r="68" spans="1:41" s="10" customFormat="1" ht="409.6">
      <c r="A68" s="9"/>
      <c r="B68" s="9"/>
      <c r="C68" s="9"/>
      <c r="D68" s="10" t="str">
        <f>"28455"</f>
        <v>28455</v>
      </c>
      <c r="E68" s="11" t="str">
        <f>""</f>
        <v/>
      </c>
      <c r="F68" s="11" t="str">
        <f t="shared" si="48"/>
        <v>372418</v>
      </c>
      <c r="G68" s="11" t="str">
        <f t="shared" si="49"/>
        <v>2017toJAN</v>
      </c>
      <c r="H68" s="11" t="str">
        <f t="shared" si="50"/>
        <v>CRSP06B</v>
      </c>
      <c r="I68" s="11" t="str">
        <f t="shared" si="51"/>
        <v>34</v>
      </c>
      <c r="J68" s="11" t="str">
        <f t="shared" si="52"/>
        <v>Creditor</v>
      </c>
      <c r="K68" s="11" t="str">
        <f t="shared" si="38"/>
        <v>CS001274</v>
      </c>
      <c r="L68" s="10" t="str">
        <f t="shared" si="39"/>
        <v>Bristow &amp; Sutor</v>
      </c>
      <c r="M68" s="12" t="str">
        <f>"27/01/2017 00:00:00"</f>
        <v>27/01/2017 00:00:00</v>
      </c>
      <c r="N68" s="12">
        <v>42762</v>
      </c>
      <c r="O68" s="10" t="str">
        <f>"C007827"</f>
        <v>C007827</v>
      </c>
      <c r="P68" s="13">
        <v>0</v>
      </c>
      <c r="Q68" s="11" t="str">
        <f>"0.0000"</f>
        <v>0.0000</v>
      </c>
      <c r="R68" s="10" t="str">
        <f>"C0004602"</f>
        <v>C0004602</v>
      </c>
      <c r="S68" s="14" t="str">
        <f>"1244.3700"</f>
        <v>1244.3700</v>
      </c>
      <c r="T68" s="10">
        <v>21000</v>
      </c>
      <c r="U68" s="10">
        <v>1760</v>
      </c>
      <c r="V68" s="10" t="str">
        <f t="shared" si="40"/>
        <v>Professional Fees</v>
      </c>
      <c r="W68" s="10" t="str">
        <f t="shared" si="41"/>
        <v>Third Party Payments</v>
      </c>
      <c r="X68" s="10" t="str">
        <f>VLOOKUP(U68,'[1]Account code lookup'!A:B,2,0)</f>
        <v>Bailiffs' Fees</v>
      </c>
      <c r="Z68" s="10" t="str">
        <f>"Finance and Procurement"</f>
        <v>Finance and Procurement</v>
      </c>
      <c r="AA68" s="10" t="str">
        <f>"Chief Finance Officer"</f>
        <v>Chief Finance Officer</v>
      </c>
      <c r="AB68" s="10" t="str">
        <f>"3cfo"</f>
        <v>3cfo</v>
      </c>
      <c r="AD68" s="10" t="str">
        <f>"cfo02"</f>
        <v>cfo02</v>
      </c>
      <c r="AE68" s="10" t="str">
        <f>"Finance &amp; Procurement / Finance"</f>
        <v>Finance &amp; Procurement / Finance</v>
      </c>
      <c r="AG68" s="10" t="str">
        <f>"21000/1760"</f>
        <v>21000/1760</v>
      </c>
      <c r="AI68" s="10" t="str">
        <f t="shared" si="46"/>
        <v>17tpp</v>
      </c>
      <c r="AJ68" s="15" t="str">
        <f>"VAT Only"</f>
        <v>VAT Only</v>
      </c>
      <c r="AK68" s="10" t="str">
        <f t="shared" si="47"/>
        <v>Revenue</v>
      </c>
      <c r="AL68" s="10" t="str">
        <f>""</f>
        <v/>
      </c>
      <c r="AM68" s="10" t="str">
        <f>""</f>
        <v/>
      </c>
      <c r="AN68" s="10" t="str">
        <f>""</f>
        <v/>
      </c>
      <c r="AO68" s="10" t="str">
        <f>""</f>
        <v/>
      </c>
    </row>
    <row r="69" spans="1:41" s="10" customFormat="1" ht="409.6">
      <c r="A69" s="9"/>
      <c r="B69" s="9"/>
      <c r="C69" s="9"/>
      <c r="D69" s="10" t="str">
        <f>"28456"</f>
        <v>28456</v>
      </c>
      <c r="E69" s="11" t="str">
        <f>""</f>
        <v/>
      </c>
      <c r="F69" s="11" t="str">
        <f t="shared" si="48"/>
        <v>372418</v>
      </c>
      <c r="G69" s="11" t="str">
        <f t="shared" si="49"/>
        <v>2017toJAN</v>
      </c>
      <c r="H69" s="11" t="str">
        <f t="shared" si="50"/>
        <v>CRSP06B</v>
      </c>
      <c r="I69" s="11" t="str">
        <f t="shared" si="51"/>
        <v>34</v>
      </c>
      <c r="J69" s="11" t="str">
        <f t="shared" si="52"/>
        <v>Creditor</v>
      </c>
      <c r="K69" s="11" t="str">
        <f t="shared" si="38"/>
        <v>CS001274</v>
      </c>
      <c r="L69" s="10" t="str">
        <f t="shared" si="39"/>
        <v>Bristow &amp; Sutor</v>
      </c>
      <c r="M69" s="12" t="str">
        <f>"27/01/2017 00:00:00"</f>
        <v>27/01/2017 00:00:00</v>
      </c>
      <c r="N69" s="12">
        <v>42762</v>
      </c>
      <c r="O69" s="10" t="str">
        <f>"C007828"</f>
        <v>C007828</v>
      </c>
      <c r="P69" s="13">
        <v>0</v>
      </c>
      <c r="Q69" s="11" t="str">
        <f>"0.0000"</f>
        <v>0.0000</v>
      </c>
      <c r="R69" s="10" t="str">
        <f>"C0004602"</f>
        <v>C0004602</v>
      </c>
      <c r="S69" s="14" t="str">
        <f>"1244.3700"</f>
        <v>1244.3700</v>
      </c>
      <c r="T69" s="10">
        <v>21000</v>
      </c>
      <c r="U69" s="10">
        <v>1760</v>
      </c>
      <c r="V69" s="10" t="str">
        <f t="shared" si="40"/>
        <v>Professional Fees</v>
      </c>
      <c r="W69" s="10" t="str">
        <f t="shared" si="41"/>
        <v>Third Party Payments</v>
      </c>
      <c r="X69" s="10" t="str">
        <f>VLOOKUP(U69,'[1]Account code lookup'!A:B,2,0)</f>
        <v>Bailiffs' Fees</v>
      </c>
      <c r="Z69" s="10" t="str">
        <f>"Finance and Procurement"</f>
        <v>Finance and Procurement</v>
      </c>
      <c r="AA69" s="10" t="str">
        <f>"Chief Finance Officer"</f>
        <v>Chief Finance Officer</v>
      </c>
      <c r="AB69" s="10" t="str">
        <f>"3cfo"</f>
        <v>3cfo</v>
      </c>
      <c r="AD69" s="10" t="str">
        <f>"cfo02"</f>
        <v>cfo02</v>
      </c>
      <c r="AE69" s="10" t="str">
        <f>"Finance &amp; Procurement / Finance"</f>
        <v>Finance &amp; Procurement / Finance</v>
      </c>
      <c r="AG69" s="10" t="str">
        <f>"21000/1760"</f>
        <v>21000/1760</v>
      </c>
      <c r="AI69" s="10" t="str">
        <f t="shared" si="46"/>
        <v>17tpp</v>
      </c>
      <c r="AJ69" s="15" t="str">
        <f>"VAT Only"</f>
        <v>VAT Only</v>
      </c>
      <c r="AK69" s="10" t="str">
        <f t="shared" si="47"/>
        <v>Revenue</v>
      </c>
      <c r="AL69" s="10" t="str">
        <f>""</f>
        <v/>
      </c>
      <c r="AM69" s="10" t="str">
        <f>""</f>
        <v/>
      </c>
      <c r="AN69" s="10" t="str">
        <f>""</f>
        <v/>
      </c>
      <c r="AO69" s="10" t="str">
        <f>""</f>
        <v/>
      </c>
    </row>
    <row r="70" spans="1:41" s="10" customFormat="1" ht="409.6">
      <c r="A70" s="9"/>
      <c r="B70" s="9"/>
      <c r="C70" s="9"/>
      <c r="D70" s="10" t="str">
        <f>"28457"</f>
        <v>28457</v>
      </c>
      <c r="E70" s="11" t="str">
        <f>""</f>
        <v/>
      </c>
      <c r="F70" s="11" t="str">
        <f t="shared" si="48"/>
        <v>372418</v>
      </c>
      <c r="G70" s="11" t="str">
        <f t="shared" si="49"/>
        <v>2017toJAN</v>
      </c>
      <c r="H70" s="11" t="str">
        <f t="shared" si="50"/>
        <v>CRSP06B</v>
      </c>
      <c r="I70" s="11" t="str">
        <f t="shared" si="51"/>
        <v>34</v>
      </c>
      <c r="J70" s="11" t="str">
        <f t="shared" si="52"/>
        <v>Creditor</v>
      </c>
      <c r="K70" s="11" t="str">
        <f t="shared" si="38"/>
        <v>CS001274</v>
      </c>
      <c r="L70" s="10" t="str">
        <f t="shared" si="39"/>
        <v>Bristow &amp; Sutor</v>
      </c>
      <c r="M70" s="12" t="str">
        <f>"27/01/2017 00:00:00"</f>
        <v>27/01/2017 00:00:00</v>
      </c>
      <c r="N70" s="12">
        <v>42762</v>
      </c>
      <c r="O70" s="10" t="str">
        <f>"C007804"</f>
        <v>C007804</v>
      </c>
      <c r="P70" s="13">
        <v>30</v>
      </c>
      <c r="Q70" s="11" t="str">
        <f>"30.0000"</f>
        <v>30.0000</v>
      </c>
      <c r="R70" s="10" t="str">
        <f>"C0004602"</f>
        <v>C0004602</v>
      </c>
      <c r="S70" s="14" t="str">
        <f>"1244.3700"</f>
        <v>1244.3700</v>
      </c>
      <c r="T70" s="10">
        <v>21747</v>
      </c>
      <c r="U70" s="10">
        <v>1760</v>
      </c>
      <c r="V70" s="10" t="str">
        <f t="shared" si="40"/>
        <v>Professional Fees</v>
      </c>
      <c r="W70" s="10" t="str">
        <f t="shared" si="41"/>
        <v>Third Party Payments</v>
      </c>
      <c r="X70" s="10" t="str">
        <f>VLOOKUP(U70,'[1]Account code lookup'!A:B,2,0)</f>
        <v>Bailiffs' Fees</v>
      </c>
      <c r="Z70" s="10" t="str">
        <f>"Finance and Procurement"</f>
        <v>Finance and Procurement</v>
      </c>
      <c r="AA70" s="10" t="str">
        <f>"Chief Finance Officer"</f>
        <v>Chief Finance Officer</v>
      </c>
      <c r="AB70" s="10" t="str">
        <f>"3cfo"</f>
        <v>3cfo</v>
      </c>
      <c r="AD70" s="10" t="str">
        <f>"cfo02"</f>
        <v>cfo02</v>
      </c>
      <c r="AE70" s="10" t="str">
        <f>"Finance &amp; Procurement / Revenues"</f>
        <v>Finance &amp; Procurement / Revenues</v>
      </c>
      <c r="AG70" s="10" t="str">
        <f>"21747/1760"</f>
        <v>21747/1760</v>
      </c>
      <c r="AI70" s="10" t="str">
        <f t="shared" si="46"/>
        <v>17tpp</v>
      </c>
      <c r="AJ70" s="15" t="str">
        <f>"Collection of Ctax, NDR, Overpayment of Housing Benefit &amp; Sundry Debtor arrears 2016"</f>
        <v>Collection of Ctax, NDR, Overpayment of Housing Benefit &amp; Sundry Debtor arrears 2016</v>
      </c>
      <c r="AK70" s="10" t="str">
        <f t="shared" si="47"/>
        <v>Revenue</v>
      </c>
      <c r="AL70" s="10" t="str">
        <f>""</f>
        <v/>
      </c>
      <c r="AM70" s="10" t="str">
        <f>""</f>
        <v/>
      </c>
      <c r="AN70" s="10" t="str">
        <f>""</f>
        <v/>
      </c>
      <c r="AO70" s="10" t="str">
        <f>""</f>
        <v/>
      </c>
    </row>
    <row r="71" spans="1:41" s="10" customFormat="1" ht="409.6">
      <c r="A71" s="9"/>
      <c r="B71" s="9"/>
      <c r="C71" s="9"/>
      <c r="D71" s="10" t="str">
        <f>"28721"</f>
        <v>28721</v>
      </c>
      <c r="E71" s="11" t="str">
        <f>""</f>
        <v/>
      </c>
      <c r="F71" s="11" t="str">
        <f t="shared" si="48"/>
        <v>372418</v>
      </c>
      <c r="G71" s="11" t="str">
        <f t="shared" si="49"/>
        <v>2017toJAN</v>
      </c>
      <c r="H71" s="11" t="str">
        <f t="shared" si="50"/>
        <v>CRSP06B</v>
      </c>
      <c r="I71" s="11" t="str">
        <f t="shared" si="51"/>
        <v>34</v>
      </c>
      <c r="J71" s="11" t="str">
        <f t="shared" si="52"/>
        <v>Creditor</v>
      </c>
      <c r="K71" s="11" t="str">
        <f t="shared" si="38"/>
        <v>CS001274</v>
      </c>
      <c r="L71" s="10" t="str">
        <f t="shared" si="39"/>
        <v>Bristow &amp; Sutor</v>
      </c>
      <c r="M71" s="12" t="str">
        <f>"27/01/2017 00:00:00"</f>
        <v>27/01/2017 00:00:00</v>
      </c>
      <c r="N71" s="12">
        <v>42762</v>
      </c>
      <c r="O71" s="10" t="str">
        <f>"C007817"</f>
        <v>C007817</v>
      </c>
      <c r="P71" s="13">
        <v>34</v>
      </c>
      <c r="Q71" s="11" t="str">
        <f>"34.0000"</f>
        <v>34.0000</v>
      </c>
      <c r="R71" s="10" t="str">
        <f>"C0004602"</f>
        <v>C0004602</v>
      </c>
      <c r="S71" s="14" t="str">
        <f>"1244.3700"</f>
        <v>1244.3700</v>
      </c>
      <c r="T71" s="10">
        <v>27010</v>
      </c>
      <c r="U71" s="10">
        <v>1760</v>
      </c>
      <c r="V71" s="10" t="str">
        <f t="shared" si="40"/>
        <v>Professional Fees</v>
      </c>
      <c r="W71" s="10" t="str">
        <f t="shared" si="41"/>
        <v>Third Party Payments</v>
      </c>
      <c r="X71" s="10" t="str">
        <f>VLOOKUP(U71,'[1]Account code lookup'!A:B,2,0)</f>
        <v>Bailiffs' Fees</v>
      </c>
      <c r="Z71" s="10" t="str">
        <f>"Community Services"</f>
        <v>Community Services</v>
      </c>
      <c r="AA71" s="10" t="str">
        <f>"Operations and Delivery"</f>
        <v>Operations and Delivery</v>
      </c>
      <c r="AB71" s="10" t="str">
        <f>"5oad"</f>
        <v>5oad</v>
      </c>
      <c r="AD71" s="10" t="str">
        <f>"oad01"</f>
        <v>oad01</v>
      </c>
      <c r="AE71" s="10" t="str">
        <f>"Finance &amp; Procurement / Head of Finance &amp; Procurement"</f>
        <v>Finance &amp; Procurement / Head of Finance &amp; Procurement</v>
      </c>
      <c r="AG71" s="10" t="str">
        <f>"27010/1760"</f>
        <v>27010/1760</v>
      </c>
      <c r="AI71" s="10" t="str">
        <f t="shared" si="46"/>
        <v>17tpp</v>
      </c>
      <c r="AJ71" s="15" t="str">
        <f>"Annual collection of sundry debt for ECNs April 2016 - March 2017"</f>
        <v>Annual collection of sundry debt for ECNs April 2016 - March 2017</v>
      </c>
      <c r="AK71" s="10" t="str">
        <f t="shared" si="47"/>
        <v>Revenue</v>
      </c>
      <c r="AL71" s="10" t="str">
        <f>""</f>
        <v/>
      </c>
      <c r="AM71" s="10" t="str">
        <f>""</f>
        <v/>
      </c>
      <c r="AN71" s="10" t="str">
        <f>""</f>
        <v/>
      </c>
      <c r="AO71" s="10" t="str">
        <f>""</f>
        <v/>
      </c>
    </row>
    <row r="72" spans="1:41" s="10" customFormat="1" ht="409.6">
      <c r="A72" s="9"/>
      <c r="B72" s="9"/>
      <c r="C72" s="9"/>
      <c r="D72" s="10" t="str">
        <f>"28722"</f>
        <v>28722</v>
      </c>
      <c r="E72" s="11" t="str">
        <f>""</f>
        <v/>
      </c>
      <c r="F72" s="11" t="str">
        <f t="shared" si="48"/>
        <v>372418</v>
      </c>
      <c r="G72" s="11" t="str">
        <f t="shared" si="49"/>
        <v>2017toJAN</v>
      </c>
      <c r="H72" s="11" t="str">
        <f t="shared" si="50"/>
        <v>CRSP06B</v>
      </c>
      <c r="I72" s="11" t="str">
        <f t="shared" si="51"/>
        <v>34</v>
      </c>
      <c r="J72" s="11" t="str">
        <f t="shared" si="52"/>
        <v>Creditor</v>
      </c>
      <c r="K72" s="11" t="str">
        <f>"CS002487"</f>
        <v>CS002487</v>
      </c>
      <c r="L72" s="10" t="str">
        <f>"Brolly Associates Ltd"</f>
        <v>Brolly Associates Ltd</v>
      </c>
      <c r="M72" s="12" t="str">
        <f>"11/01/2017 00:00:00"</f>
        <v>11/01/2017 00:00:00</v>
      </c>
      <c r="N72" s="12">
        <v>42746</v>
      </c>
      <c r="O72" s="10" t="str">
        <f>"C007770"</f>
        <v>C007770</v>
      </c>
      <c r="P72" s="13">
        <v>4950</v>
      </c>
      <c r="Q72" s="11" t="str">
        <f>"4950.0000"</f>
        <v>4950.0000</v>
      </c>
      <c r="R72" s="10" t="str">
        <f>"C0004378"</f>
        <v>C0004378</v>
      </c>
      <c r="S72" s="14" t="str">
        <f>"5940.0000"</f>
        <v>5940.0000</v>
      </c>
      <c r="T72" s="10">
        <v>28730</v>
      </c>
      <c r="U72" s="10">
        <v>1765</v>
      </c>
      <c r="V72" s="10" t="str">
        <f t="shared" si="40"/>
        <v>Professional Fees</v>
      </c>
      <c r="W72" s="10" t="str">
        <f t="shared" si="41"/>
        <v>Third Party Payments</v>
      </c>
      <c r="X72" s="10" t="str">
        <f>VLOOKUP(U72,'[1]Account code lookup'!A:B,2,0)</f>
        <v>Consultants Fees</v>
      </c>
      <c r="Z72" s="10" t="str">
        <f>"Finance and Procurement"</f>
        <v>Finance and Procurement</v>
      </c>
      <c r="AA72" s="10" t="str">
        <f>"Chief Finance Officer"</f>
        <v>Chief Finance Officer</v>
      </c>
      <c r="AB72" s="10" t="str">
        <f>"3cfo"</f>
        <v>3cfo</v>
      </c>
      <c r="AD72" s="10" t="str">
        <f>"cfo02"</f>
        <v>cfo02</v>
      </c>
      <c r="AE72" s="10" t="str">
        <f>"Finance &amp; Procurement / Head of Finance &amp; Procurement"</f>
        <v>Finance &amp; Procurement / Head of Finance &amp; Procurement</v>
      </c>
      <c r="AG72" s="10" t="str">
        <f>"28730/1765"</f>
        <v>28730/1765</v>
      </c>
      <c r="AI72" s="10" t="str">
        <f t="shared" si="46"/>
        <v>17tpp</v>
      </c>
      <c r="AJ72" s="15" t="str">
        <f>"Revs &amp; Bens implementation services as per contract"</f>
        <v>Revs &amp; Bens implementation services as per contract</v>
      </c>
      <c r="AK72" s="10" t="str">
        <f t="shared" si="47"/>
        <v>Revenue</v>
      </c>
      <c r="AL72" s="10" t="str">
        <f>""</f>
        <v/>
      </c>
      <c r="AM72" s="10" t="str">
        <f>""</f>
        <v/>
      </c>
      <c r="AN72" s="10" t="str">
        <f>""</f>
        <v/>
      </c>
      <c r="AO72" s="10" t="str">
        <f>""</f>
        <v/>
      </c>
    </row>
    <row r="73" spans="1:41" s="10" customFormat="1" ht="409.6">
      <c r="A73" s="9"/>
      <c r="B73" s="9"/>
      <c r="C73" s="9"/>
      <c r="D73" s="10" t="str">
        <f>"30081"</f>
        <v>30081</v>
      </c>
      <c r="E73" s="11" t="str">
        <f>""</f>
        <v/>
      </c>
      <c r="F73" s="11" t="str">
        <f t="shared" si="48"/>
        <v>372418</v>
      </c>
      <c r="G73" s="11" t="str">
        <f t="shared" si="49"/>
        <v>2017toJAN</v>
      </c>
      <c r="H73" s="11" t="str">
        <f t="shared" si="50"/>
        <v>CRSP06B</v>
      </c>
      <c r="I73" s="11" t="str">
        <f t="shared" si="51"/>
        <v>34</v>
      </c>
      <c r="J73" s="11" t="str">
        <f t="shared" si="52"/>
        <v>Creditor</v>
      </c>
      <c r="K73" s="11" t="str">
        <f>"CS001331"</f>
        <v>CS001331</v>
      </c>
      <c r="L73" s="10" t="str">
        <f>"Cable &amp; Wireless UK"</f>
        <v>Cable &amp; Wireless UK</v>
      </c>
      <c r="M73" s="12" t="str">
        <f>"27/01/2017 00:00:00"</f>
        <v>27/01/2017 00:00:00</v>
      </c>
      <c r="N73" s="12">
        <v>42762</v>
      </c>
      <c r="O73" s="10" t="str">
        <f>"C007664"</f>
        <v>C007664</v>
      </c>
      <c r="P73" s="13">
        <v>2508.21</v>
      </c>
      <c r="Q73" s="11" t="str">
        <f>"2508.2100"</f>
        <v>2508.2100</v>
      </c>
      <c r="R73" s="10" t="str">
        <f>"C0004603"</f>
        <v>C0004603</v>
      </c>
      <c r="S73" s="14" t="str">
        <f>"3009.8500"</f>
        <v>3009.8500</v>
      </c>
      <c r="T73" s="10">
        <v>21733</v>
      </c>
      <c r="U73" s="10">
        <v>1511</v>
      </c>
      <c r="V73" s="10" t="str">
        <f>"Communications and computing"</f>
        <v>Communications and computing</v>
      </c>
      <c r="W73" s="10" t="str">
        <f>"Supplies and Services"</f>
        <v>Supplies and Services</v>
      </c>
      <c r="X73" s="10" t="str">
        <f>VLOOKUP(U73,'[1]Account code lookup'!A:B,2,0)</f>
        <v>Telephone Rentals &amp; Calls Exps</v>
      </c>
      <c r="Z73" s="10" t="str">
        <f t="shared" ref="Z73:Z78" si="53">"Information Services"</f>
        <v>Information Services</v>
      </c>
      <c r="AA73" s="10" t="str">
        <f t="shared" ref="AA73:AA78" si="54">"Commercial Development"</f>
        <v>Commercial Development</v>
      </c>
      <c r="AB73" s="10" t="str">
        <f t="shared" ref="AB73:AB78" si="55">"2cdb"</f>
        <v>2cdb</v>
      </c>
      <c r="AD73" s="10" t="str">
        <f t="shared" ref="AD73:AD78" si="56">"cdb04"</f>
        <v>cdb04</v>
      </c>
      <c r="AE73" s="10" t="str">
        <f>"ICT / Information Services"</f>
        <v>ICT / Information Services</v>
      </c>
      <c r="AG73" s="10" t="str">
        <f>"21733/1511"</f>
        <v>21733/1511</v>
      </c>
      <c r="AI73" s="10" t="str">
        <f>"14suse"</f>
        <v>14suse</v>
      </c>
      <c r="AJ73" s="15" t="str">
        <f>""</f>
        <v/>
      </c>
      <c r="AK73" s="10" t="str">
        <f t="shared" ref="AK73:AK100" si="57">"Revenue"</f>
        <v>Revenue</v>
      </c>
      <c r="AL73" s="10" t="str">
        <f>""</f>
        <v/>
      </c>
      <c r="AM73" s="10" t="str">
        <f>""</f>
        <v/>
      </c>
      <c r="AN73" s="10" t="str">
        <f>""</f>
        <v/>
      </c>
      <c r="AO73" s="10" t="str">
        <f>""</f>
        <v/>
      </c>
    </row>
    <row r="74" spans="1:41" s="10" customFormat="1" ht="409.6">
      <c r="A74" s="9"/>
      <c r="B74" s="9"/>
      <c r="C74" s="9"/>
      <c r="D74" s="10" t="str">
        <f>"30082"</f>
        <v>30082</v>
      </c>
      <c r="E74" s="11" t="str">
        <f>""</f>
        <v/>
      </c>
      <c r="F74" s="11" t="str">
        <f t="shared" si="48"/>
        <v>372418</v>
      </c>
      <c r="G74" s="11" t="str">
        <f t="shared" si="49"/>
        <v>2017toJAN</v>
      </c>
      <c r="H74" s="11" t="str">
        <f t="shared" si="50"/>
        <v>CRSP06B</v>
      </c>
      <c r="I74" s="11" t="str">
        <f t="shared" si="51"/>
        <v>34</v>
      </c>
      <c r="J74" s="11" t="str">
        <f t="shared" si="52"/>
        <v>Creditor</v>
      </c>
      <c r="K74" s="11" t="str">
        <f>"CS001332"</f>
        <v>CS001332</v>
      </c>
      <c r="L74" s="10" t="str">
        <f>"Cadcorp Ltd"</f>
        <v>Cadcorp Ltd</v>
      </c>
      <c r="M74" s="12" t="str">
        <f>"10/01/2017 00:00:00"</f>
        <v>10/01/2017 00:00:00</v>
      </c>
      <c r="N74" s="12">
        <v>42745</v>
      </c>
      <c r="O74" s="10" t="str">
        <f>"C006957"</f>
        <v>C006957</v>
      </c>
      <c r="P74" s="13">
        <v>800</v>
      </c>
      <c r="Q74" s="11" t="str">
        <f>"800.0000"</f>
        <v>800.0000</v>
      </c>
      <c r="R74" s="10" t="str">
        <f>"059208"</f>
        <v>059208</v>
      </c>
      <c r="S74" s="14" t="str">
        <f>"960.0000"</f>
        <v>960.0000</v>
      </c>
      <c r="T74" s="10">
        <v>21733</v>
      </c>
      <c r="U74" s="10">
        <v>1767</v>
      </c>
      <c r="V74" s="10" t="str">
        <f>"Professional Fees"</f>
        <v>Professional Fees</v>
      </c>
      <c r="W74" s="10" t="str">
        <f>"Third Party Payments"</f>
        <v>Third Party Payments</v>
      </c>
      <c r="X74" s="10" t="str">
        <f>VLOOKUP(U74,'[1]Account code lookup'!A:B,2,0)</f>
        <v>Professional Fees</v>
      </c>
      <c r="Z74" s="10" t="str">
        <f t="shared" si="53"/>
        <v>Information Services</v>
      </c>
      <c r="AA74" s="10" t="str">
        <f t="shared" si="54"/>
        <v>Commercial Development</v>
      </c>
      <c r="AB74" s="10" t="str">
        <f t="shared" si="55"/>
        <v>2cdb</v>
      </c>
      <c r="AD74" s="10" t="str">
        <f t="shared" si="56"/>
        <v>cdb04</v>
      </c>
      <c r="AE74" s="10" t="str">
        <f>"Finance &amp; Procurement / Finance"</f>
        <v>Finance &amp; Procurement / Finance</v>
      </c>
      <c r="AG74" s="10" t="str">
        <f>"21733/1767"</f>
        <v>21733/1767</v>
      </c>
      <c r="AI74" s="10" t="str">
        <f>"17tpp"</f>
        <v>17tpp</v>
      </c>
      <c r="AJ74" s="15" t="str">
        <f>"Introduction to SIS Training Course 2 days_x000D_
_x000D_
Date of Course is 29th/30th November 2016 running from Cadcorp Offices in Stevenage._x000D_
_x000D_
Quote No : Quote 8702/1"</f>
        <v>Introduction to SIS Training Course 2 days_x000D_
_x000D_
Date of Course is 29th/30th November 2016 running from Cadcorp Offices in Stevenage._x000D_
_x000D_
Quote No : Quote 8702/1</v>
      </c>
      <c r="AK74" s="10" t="str">
        <f t="shared" si="57"/>
        <v>Revenue</v>
      </c>
      <c r="AL74" s="10" t="str">
        <f>""</f>
        <v/>
      </c>
      <c r="AM74" s="10" t="str">
        <f>""</f>
        <v/>
      </c>
      <c r="AN74" s="10" t="str">
        <f>""</f>
        <v/>
      </c>
      <c r="AO74" s="10" t="str">
        <f>""</f>
        <v/>
      </c>
    </row>
    <row r="75" spans="1:41" s="10" customFormat="1" ht="409.6">
      <c r="A75" s="9"/>
      <c r="B75" s="9"/>
      <c r="C75" s="9"/>
      <c r="D75" s="10" t="str">
        <f>"30083"</f>
        <v>30083</v>
      </c>
      <c r="E75" s="11" t="str">
        <f>""</f>
        <v/>
      </c>
      <c r="F75" s="11" t="str">
        <f t="shared" si="48"/>
        <v>372418</v>
      </c>
      <c r="G75" s="11" t="str">
        <f t="shared" si="49"/>
        <v>2017toJAN</v>
      </c>
      <c r="H75" s="11" t="str">
        <f t="shared" si="50"/>
        <v>CRSP06B</v>
      </c>
      <c r="I75" s="11" t="str">
        <f t="shared" si="51"/>
        <v>34</v>
      </c>
      <c r="J75" s="11" t="str">
        <f t="shared" si="52"/>
        <v>Creditor</v>
      </c>
      <c r="K75" s="11" t="str">
        <f>"CS001334"</f>
        <v>CS001334</v>
      </c>
      <c r="L75" s="10" t="str">
        <f>"CAE Technology Services"</f>
        <v>CAE Technology Services</v>
      </c>
      <c r="M75" s="12" t="str">
        <f>"18/01/2017 00:00:00"</f>
        <v>18/01/2017 00:00:00</v>
      </c>
      <c r="N75" s="12">
        <v>42753</v>
      </c>
      <c r="O75" s="10" t="str">
        <f>"C007606"</f>
        <v>C007606</v>
      </c>
      <c r="P75" s="13">
        <v>750</v>
      </c>
      <c r="Q75" s="11" t="str">
        <f>"750.0000"</f>
        <v>750.0000</v>
      </c>
      <c r="R75" s="10" t="str">
        <f>"C0004476"</f>
        <v>C0004476</v>
      </c>
      <c r="S75" s="14" t="str">
        <f>"900.0000"</f>
        <v>900.0000</v>
      </c>
      <c r="T75" s="10">
        <v>21733</v>
      </c>
      <c r="U75" s="10">
        <v>1516</v>
      </c>
      <c r="V75" s="10" t="str">
        <f>"Communications and computing"</f>
        <v>Communications and computing</v>
      </c>
      <c r="W75" s="10" t="str">
        <f>"Supplies and Services"</f>
        <v>Supplies and Services</v>
      </c>
      <c r="X75" s="10" t="str">
        <f>VLOOKUP(U75,'[1]Account code lookup'!A:B,2,0)</f>
        <v>Computer Software, Licensing &amp; Maintenan</v>
      </c>
      <c r="Z75" s="10" t="str">
        <f t="shared" si="53"/>
        <v>Information Services</v>
      </c>
      <c r="AA75" s="10" t="str">
        <f t="shared" si="54"/>
        <v>Commercial Development</v>
      </c>
      <c r="AB75" s="10" t="str">
        <f t="shared" si="55"/>
        <v>2cdb</v>
      </c>
      <c r="AD75" s="10" t="str">
        <f t="shared" si="56"/>
        <v>cdb04</v>
      </c>
      <c r="AE75" s="10" t="str">
        <f>"Finance &amp; Procurement / Finance"</f>
        <v>Finance &amp; Procurement / Finance</v>
      </c>
      <c r="AG75" s="10" t="str">
        <f>"21733/1516"</f>
        <v>21733/1516</v>
      </c>
      <c r="AI75" s="10" t="str">
        <f>"14suse"</f>
        <v>14suse</v>
      </c>
      <c r="AJ75" s="15" t="str">
        <f>"Cisco Firewall Support Vouchers_x000D_
Part No.  SER-MS-VOUCHER"</f>
        <v>Cisco Firewall Support Vouchers_x000D_
Part No.  SER-MS-VOUCHER</v>
      </c>
      <c r="AK75" s="10" t="str">
        <f t="shared" si="57"/>
        <v>Revenue</v>
      </c>
      <c r="AL75" s="10" t="str">
        <f>""</f>
        <v/>
      </c>
      <c r="AM75" s="10" t="str">
        <f>""</f>
        <v/>
      </c>
      <c r="AN75" s="10" t="str">
        <f>""</f>
        <v/>
      </c>
      <c r="AO75" s="10" t="str">
        <f>""</f>
        <v/>
      </c>
    </row>
    <row r="76" spans="1:41" s="10" customFormat="1" ht="409.6">
      <c r="A76" s="9"/>
      <c r="B76" s="9"/>
      <c r="C76" s="9"/>
      <c r="D76" s="10" t="str">
        <f>"30290"</f>
        <v>30290</v>
      </c>
      <c r="E76" s="11" t="str">
        <f>""</f>
        <v/>
      </c>
      <c r="F76" s="11" t="str">
        <f t="shared" si="48"/>
        <v>372418</v>
      </c>
      <c r="G76" s="11" t="str">
        <f t="shared" si="49"/>
        <v>2017toJAN</v>
      </c>
      <c r="H76" s="11" t="str">
        <f t="shared" si="50"/>
        <v>CRSP06B</v>
      </c>
      <c r="I76" s="11" t="str">
        <f t="shared" si="51"/>
        <v>34</v>
      </c>
      <c r="J76" s="11" t="str">
        <f t="shared" si="52"/>
        <v>Creditor</v>
      </c>
      <c r="K76" s="11" t="str">
        <f>"CS001345"</f>
        <v>CS001345</v>
      </c>
      <c r="L76" s="10" t="str">
        <f>"Canon (Uk) Ltd"</f>
        <v>Canon (Uk) Ltd</v>
      </c>
      <c r="M76" s="12" t="str">
        <f>"06/01/2017 00:00:00"</f>
        <v>06/01/2017 00:00:00</v>
      </c>
      <c r="N76" s="12">
        <v>42741</v>
      </c>
      <c r="O76" s="10" t="str">
        <f>"C007259"</f>
        <v>C007259</v>
      </c>
      <c r="P76" s="13">
        <v>4042.39</v>
      </c>
      <c r="Q76" s="11" t="str">
        <f>"4042.3900"</f>
        <v>4042.3900</v>
      </c>
      <c r="R76" s="10" t="str">
        <f>"C0004299"</f>
        <v>C0004299</v>
      </c>
      <c r="S76" s="14" t="str">
        <f>"4850.8700"</f>
        <v>4850.8700</v>
      </c>
      <c r="T76" s="10">
        <v>21733</v>
      </c>
      <c r="U76" s="10">
        <v>1408</v>
      </c>
      <c r="V76" s="10" t="str">
        <f>"Equipment, furniture and mats"</f>
        <v>Equipment, furniture and mats</v>
      </c>
      <c r="W76" s="10" t="str">
        <f>"Supplies and Services"</f>
        <v>Supplies and Services</v>
      </c>
      <c r="X76" s="10" t="str">
        <f>VLOOKUP(U76,'[1]Account code lookup'!A:B,2,0)</f>
        <v>Hire Rental Leasing of Equipment</v>
      </c>
      <c r="Z76" s="10" t="str">
        <f t="shared" si="53"/>
        <v>Information Services</v>
      </c>
      <c r="AA76" s="10" t="str">
        <f t="shared" si="54"/>
        <v>Commercial Development</v>
      </c>
      <c r="AB76" s="10" t="str">
        <f t="shared" si="55"/>
        <v>2cdb</v>
      </c>
      <c r="AD76" s="10" t="str">
        <f t="shared" si="56"/>
        <v>cdb04</v>
      </c>
      <c r="AE76" s="10" t="str">
        <f>"ICT / Information Services"</f>
        <v>ICT / Information Services</v>
      </c>
      <c r="AG76" s="10" t="str">
        <f>"21733/1408"</f>
        <v>21733/1408</v>
      </c>
      <c r="AI76" s="10" t="str">
        <f>"14suse"</f>
        <v>14suse</v>
      </c>
      <c r="AJ76" s="15" t="str">
        <f>""</f>
        <v/>
      </c>
      <c r="AK76" s="10" t="str">
        <f t="shared" si="57"/>
        <v>Revenue</v>
      </c>
      <c r="AL76" s="10" t="str">
        <f>""</f>
        <v/>
      </c>
      <c r="AM76" s="10" t="str">
        <f>""</f>
        <v/>
      </c>
      <c r="AN76" s="10" t="str">
        <f>""</f>
        <v/>
      </c>
      <c r="AO76" s="10" t="str">
        <f>""</f>
        <v/>
      </c>
    </row>
    <row r="77" spans="1:41" s="10" customFormat="1" ht="409.6">
      <c r="A77" s="9"/>
      <c r="B77" s="9"/>
      <c r="C77" s="9"/>
      <c r="D77" s="10" t="str">
        <f>"30855"</f>
        <v>30855</v>
      </c>
      <c r="E77" s="11" t="str">
        <f>""</f>
        <v/>
      </c>
      <c r="F77" s="11" t="str">
        <f t="shared" si="48"/>
        <v>372418</v>
      </c>
      <c r="G77" s="11" t="str">
        <f t="shared" si="49"/>
        <v>2017toJAN</v>
      </c>
      <c r="H77" s="11" t="str">
        <f t="shared" si="50"/>
        <v>CRSP06B</v>
      </c>
      <c r="I77" s="11" t="str">
        <f t="shared" si="51"/>
        <v>34</v>
      </c>
      <c r="J77" s="11" t="str">
        <f t="shared" si="52"/>
        <v>Creditor</v>
      </c>
      <c r="K77" s="11" t="str">
        <f>"CS001345"</f>
        <v>CS001345</v>
      </c>
      <c r="L77" s="10" t="str">
        <f>"Canon (Uk) Ltd"</f>
        <v>Canon (Uk) Ltd</v>
      </c>
      <c r="M77" s="12" t="str">
        <f>"27/01/2017 00:00:00"</f>
        <v>27/01/2017 00:00:00</v>
      </c>
      <c r="N77" s="12">
        <v>42762</v>
      </c>
      <c r="O77" s="10" t="str">
        <f>"C007690"</f>
        <v>C007690</v>
      </c>
      <c r="P77" s="13">
        <v>2346</v>
      </c>
      <c r="Q77" s="11" t="str">
        <f>"2346.0000"</f>
        <v>2346.0000</v>
      </c>
      <c r="R77" s="10" t="str">
        <f>"C0004604"</f>
        <v>C0004604</v>
      </c>
      <c r="S77" s="14" t="str">
        <f>"3661.8700"</f>
        <v>3661.8700</v>
      </c>
      <c r="T77" s="10">
        <v>21733</v>
      </c>
      <c r="U77" s="10">
        <v>1408</v>
      </c>
      <c r="V77" s="10" t="str">
        <f>"Equipment, furniture and mats"</f>
        <v>Equipment, furniture and mats</v>
      </c>
      <c r="W77" s="10" t="str">
        <f>"Supplies and Services"</f>
        <v>Supplies and Services</v>
      </c>
      <c r="X77" s="10" t="str">
        <f>VLOOKUP(U77,'[1]Account code lookup'!A:B,2,0)</f>
        <v>Hire Rental Leasing of Equipment</v>
      </c>
      <c r="Z77" s="10" t="str">
        <f t="shared" si="53"/>
        <v>Information Services</v>
      </c>
      <c r="AA77" s="10" t="str">
        <f t="shared" si="54"/>
        <v>Commercial Development</v>
      </c>
      <c r="AB77" s="10" t="str">
        <f t="shared" si="55"/>
        <v>2cdb</v>
      </c>
      <c r="AD77" s="10" t="str">
        <f t="shared" si="56"/>
        <v>cdb04</v>
      </c>
      <c r="AE77" s="10" t="str">
        <f>"ICT / Information Services"</f>
        <v>ICT / Information Services</v>
      </c>
      <c r="AG77" s="10" t="str">
        <f>"21733/1408"</f>
        <v>21733/1408</v>
      </c>
      <c r="AI77" s="10" t="str">
        <f>"14suse"</f>
        <v>14suse</v>
      </c>
      <c r="AJ77" s="15" t="str">
        <f>""</f>
        <v/>
      </c>
      <c r="AK77" s="10" t="str">
        <f t="shared" si="57"/>
        <v>Revenue</v>
      </c>
      <c r="AL77" s="10" t="str">
        <f>""</f>
        <v/>
      </c>
      <c r="AM77" s="10" t="str">
        <f>""</f>
        <v/>
      </c>
      <c r="AN77" s="10" t="str">
        <f>""</f>
        <v/>
      </c>
      <c r="AO77" s="10" t="str">
        <f>""</f>
        <v/>
      </c>
    </row>
    <row r="78" spans="1:41" s="10" customFormat="1" ht="409.6">
      <c r="A78" s="9"/>
      <c r="B78" s="9"/>
      <c r="C78" s="9"/>
      <c r="D78" s="10" t="str">
        <f>"30856"</f>
        <v>30856</v>
      </c>
      <c r="E78" s="11" t="str">
        <f>""</f>
        <v/>
      </c>
      <c r="F78" s="11" t="str">
        <f t="shared" si="48"/>
        <v>372418</v>
      </c>
      <c r="G78" s="11" t="str">
        <f t="shared" si="49"/>
        <v>2017toJAN</v>
      </c>
      <c r="H78" s="11" t="str">
        <f t="shared" si="50"/>
        <v>CRSP06B</v>
      </c>
      <c r="I78" s="11" t="str">
        <f t="shared" si="51"/>
        <v>34</v>
      </c>
      <c r="J78" s="11" t="str">
        <f t="shared" si="52"/>
        <v>Creditor</v>
      </c>
      <c r="K78" s="11" t="str">
        <f>"CS001345"</f>
        <v>CS001345</v>
      </c>
      <c r="L78" s="10" t="str">
        <f>"Canon (Uk) Ltd"</f>
        <v>Canon (Uk) Ltd</v>
      </c>
      <c r="M78" s="12" t="str">
        <f>"27/01/2017 00:00:00"</f>
        <v>27/01/2017 00:00:00</v>
      </c>
      <c r="N78" s="12">
        <v>42762</v>
      </c>
      <c r="O78" s="10" t="str">
        <f>"C007691"</f>
        <v>C007691</v>
      </c>
      <c r="P78" s="13">
        <v>705.56</v>
      </c>
      <c r="Q78" s="11" t="str">
        <f>"705.5600"</f>
        <v>705.5600</v>
      </c>
      <c r="R78" s="10" t="str">
        <f>"C0004604"</f>
        <v>C0004604</v>
      </c>
      <c r="S78" s="14" t="str">
        <f>"3661.8700"</f>
        <v>3661.8700</v>
      </c>
      <c r="T78" s="10">
        <v>21733</v>
      </c>
      <c r="U78" s="10">
        <v>1440</v>
      </c>
      <c r="V78" s="10" t="str">
        <f>"Printing Stationery &amp; Off Supp"</f>
        <v>Printing Stationery &amp; Off Supp</v>
      </c>
      <c r="W78" s="10" t="str">
        <f>"Supplies and Services"</f>
        <v>Supplies and Services</v>
      </c>
      <c r="X78" s="10" t="str">
        <f>VLOOKUP(U78,'[1]Account code lookup'!A:B,2,0)</f>
        <v>Printing &amp; Photocopying - MFD</v>
      </c>
      <c r="Z78" s="10" t="str">
        <f t="shared" si="53"/>
        <v>Information Services</v>
      </c>
      <c r="AA78" s="10" t="str">
        <f t="shared" si="54"/>
        <v>Commercial Development</v>
      </c>
      <c r="AB78" s="10" t="str">
        <f t="shared" si="55"/>
        <v>2cdb</v>
      </c>
      <c r="AD78" s="10" t="str">
        <f t="shared" si="56"/>
        <v>cdb04</v>
      </c>
      <c r="AE78" s="10" t="str">
        <f>"ICT / Information Services"</f>
        <v>ICT / Information Services</v>
      </c>
      <c r="AG78" s="10" t="str">
        <f>"21733/1440"</f>
        <v>21733/1440</v>
      </c>
      <c r="AI78" s="10" t="str">
        <f>"14suse"</f>
        <v>14suse</v>
      </c>
      <c r="AJ78" s="15" t="str">
        <f>""</f>
        <v/>
      </c>
      <c r="AK78" s="10" t="str">
        <f t="shared" si="57"/>
        <v>Revenue</v>
      </c>
      <c r="AL78" s="10" t="str">
        <f>""</f>
        <v/>
      </c>
      <c r="AM78" s="10" t="str">
        <f>""</f>
        <v/>
      </c>
      <c r="AN78" s="10" t="str">
        <f>""</f>
        <v/>
      </c>
      <c r="AO78" s="10" t="str">
        <f>""</f>
        <v/>
      </c>
    </row>
    <row r="79" spans="1:41" s="10" customFormat="1" ht="409.6">
      <c r="A79" s="9"/>
      <c r="B79" s="9"/>
      <c r="C79" s="9"/>
      <c r="D79" s="10" t="str">
        <f>"32258"</f>
        <v>32258</v>
      </c>
      <c r="E79" s="11" t="str">
        <f>""</f>
        <v/>
      </c>
      <c r="F79" s="11" t="str">
        <f t="shared" si="48"/>
        <v>372418</v>
      </c>
      <c r="G79" s="11" t="str">
        <f t="shared" si="49"/>
        <v>2017toJAN</v>
      </c>
      <c r="H79" s="11" t="str">
        <f t="shared" si="50"/>
        <v>CRSP06B</v>
      </c>
      <c r="I79" s="11" t="str">
        <f t="shared" si="51"/>
        <v>34</v>
      </c>
      <c r="J79" s="11" t="str">
        <f t="shared" si="52"/>
        <v>Creditor</v>
      </c>
      <c r="K79" s="11" t="str">
        <f>"CS001347"</f>
        <v>CS001347</v>
      </c>
      <c r="L79" s="10" t="str">
        <f>"Capita Business Services Ltd"</f>
        <v>Capita Business Services Ltd</v>
      </c>
      <c r="M79" s="12" t="str">
        <f>"06/01/2017 00:00:00"</f>
        <v>06/01/2017 00:00:00</v>
      </c>
      <c r="N79" s="12">
        <v>42741</v>
      </c>
      <c r="O79" s="10" t="str">
        <f>"C007200"</f>
        <v>C007200</v>
      </c>
      <c r="P79" s="13">
        <v>1877.2</v>
      </c>
      <c r="Q79" s="11" t="str">
        <f>"1877.2000"</f>
        <v>1877.2000</v>
      </c>
      <c r="R79" s="10" t="str">
        <f>"C0004300"</f>
        <v>C0004300</v>
      </c>
      <c r="S79" s="14" t="str">
        <f>"14492.6400"</f>
        <v>14492.6400</v>
      </c>
      <c r="T79" s="10">
        <v>28730</v>
      </c>
      <c r="U79" s="10">
        <v>1444</v>
      </c>
      <c r="V79" s="10" t="str">
        <f>"Printing Stationery &amp; Off Supp"</f>
        <v>Printing Stationery &amp; Off Supp</v>
      </c>
      <c r="W79" s="10" t="str">
        <f>"Supplies and Services"</f>
        <v>Supplies and Services</v>
      </c>
      <c r="X79" s="10" t="str">
        <f>VLOOKUP(U79,'[1]Account code lookup'!A:B,2,0)</f>
        <v>Stationery</v>
      </c>
      <c r="Z79" s="10" t="str">
        <f>"Finance and Procurement"</f>
        <v>Finance and Procurement</v>
      </c>
      <c r="AA79" s="10" t="str">
        <f>"Chief Finance Officer"</f>
        <v>Chief Finance Officer</v>
      </c>
      <c r="AB79" s="10" t="str">
        <f>"3cfo"</f>
        <v>3cfo</v>
      </c>
      <c r="AD79" s="10" t="str">
        <f>"cfo02"</f>
        <v>cfo02</v>
      </c>
      <c r="AE79" s="10" t="str">
        <f>"Finance &amp; Procurement / Finance"</f>
        <v>Finance &amp; Procurement / Finance</v>
      </c>
      <c r="AG79" s="10" t="str">
        <f>"28730/1444"</f>
        <v>28730/1444</v>
      </c>
      <c r="AI79" s="10" t="str">
        <f>"14suse"</f>
        <v>14suse</v>
      </c>
      <c r="AJ79" s="15" t="str">
        <f>"NNDR Revaluation Mailshot"</f>
        <v>NNDR Revaluation Mailshot</v>
      </c>
      <c r="AK79" s="10" t="str">
        <f t="shared" si="57"/>
        <v>Revenue</v>
      </c>
      <c r="AL79" s="10" t="str">
        <f>""</f>
        <v/>
      </c>
      <c r="AM79" s="10" t="str">
        <f>""</f>
        <v/>
      </c>
      <c r="AN79" s="10" t="str">
        <f>""</f>
        <v/>
      </c>
      <c r="AO79" s="10" t="str">
        <f>""</f>
        <v/>
      </c>
    </row>
    <row r="80" spans="1:41" s="10" customFormat="1" ht="409.6">
      <c r="A80" s="9"/>
      <c r="B80" s="9"/>
      <c r="C80" s="9"/>
      <c r="D80" s="10" t="str">
        <f>"32259"</f>
        <v>32259</v>
      </c>
      <c r="E80" s="11" t="str">
        <f>""</f>
        <v/>
      </c>
      <c r="F80" s="11" t="str">
        <f t="shared" si="48"/>
        <v>372418</v>
      </c>
      <c r="G80" s="11" t="str">
        <f t="shared" si="49"/>
        <v>2017toJAN</v>
      </c>
      <c r="H80" s="11" t="str">
        <f t="shared" si="50"/>
        <v>CRSP06B</v>
      </c>
      <c r="I80" s="11" t="str">
        <f t="shared" si="51"/>
        <v>34</v>
      </c>
      <c r="J80" s="11" t="str">
        <f t="shared" si="52"/>
        <v>Creditor</v>
      </c>
      <c r="K80" s="11" t="str">
        <f>"CS001347"</f>
        <v>CS001347</v>
      </c>
      <c r="L80" s="10" t="str">
        <f>"Capita Business Services Ltd"</f>
        <v>Capita Business Services Ltd</v>
      </c>
      <c r="M80" s="12" t="str">
        <f>"06/01/2017 00:00:00"</f>
        <v>06/01/2017 00:00:00</v>
      </c>
      <c r="N80" s="12">
        <v>42741</v>
      </c>
      <c r="O80" s="10" t="str">
        <f>"C007201"</f>
        <v>C007201</v>
      </c>
      <c r="P80" s="13">
        <v>10200</v>
      </c>
      <c r="Q80" s="11" t="str">
        <f>"10200.0000"</f>
        <v>10200.0000</v>
      </c>
      <c r="R80" s="10" t="str">
        <f>"C0004300"</f>
        <v>C0004300</v>
      </c>
      <c r="S80" s="14" t="str">
        <f>"14492.6400"</f>
        <v>14492.6400</v>
      </c>
      <c r="T80" s="10">
        <v>28730</v>
      </c>
      <c r="U80" s="10">
        <v>1769</v>
      </c>
      <c r="V80" s="10" t="str">
        <f>"Professional Fees"</f>
        <v>Professional Fees</v>
      </c>
      <c r="W80" s="10" t="str">
        <f>"Third Party Payments"</f>
        <v>Third Party Payments</v>
      </c>
      <c r="X80" s="10" t="str">
        <f>VLOOKUP(U80,'[1]Account code lookup'!A:B,2,0)</f>
        <v>Harmonisation Project Expenditure</v>
      </c>
      <c r="Z80" s="10" t="str">
        <f>"Finance and Procurement"</f>
        <v>Finance and Procurement</v>
      </c>
      <c r="AA80" s="10" t="str">
        <f>"Chief Finance Officer"</f>
        <v>Chief Finance Officer</v>
      </c>
      <c r="AB80" s="10" t="str">
        <f>"3cfo"</f>
        <v>3cfo</v>
      </c>
      <c r="AD80" s="10" t="str">
        <f>"cfo02"</f>
        <v>cfo02</v>
      </c>
      <c r="AE80" s="10" t="str">
        <f>"Finance &amp; Procurement / Finance"</f>
        <v>Finance &amp; Procurement / Finance</v>
      </c>
      <c r="AG80" s="10" t="str">
        <f>"28730/1769"</f>
        <v>28730/1769</v>
      </c>
      <c r="AI80" s="10" t="str">
        <f>"17tpp"</f>
        <v>17tpp</v>
      </c>
      <c r="AJ80" s="15" t="str">
        <f>"Additional Resources for Conversion Project Sept/Oct/Nov16"</f>
        <v>Additional Resources for Conversion Project Sept/Oct/Nov16</v>
      </c>
      <c r="AK80" s="10" t="str">
        <f t="shared" si="57"/>
        <v>Revenue</v>
      </c>
      <c r="AL80" s="10" t="str">
        <f>""</f>
        <v/>
      </c>
      <c r="AM80" s="10" t="str">
        <f>""</f>
        <v/>
      </c>
      <c r="AN80" s="10" t="str">
        <f>""</f>
        <v/>
      </c>
      <c r="AO80" s="10" t="str">
        <f>""</f>
        <v/>
      </c>
    </row>
    <row r="81" spans="1:41" s="10" customFormat="1" ht="409.6">
      <c r="A81" s="9"/>
      <c r="B81" s="9"/>
      <c r="C81" s="9"/>
      <c r="D81" s="10" t="str">
        <f>"32768"</f>
        <v>32768</v>
      </c>
      <c r="E81" s="11" t="str">
        <f>""</f>
        <v/>
      </c>
      <c r="F81" s="11" t="str">
        <f t="shared" si="48"/>
        <v>372418</v>
      </c>
      <c r="G81" s="11" t="str">
        <f t="shared" si="49"/>
        <v>2017toJAN</v>
      </c>
      <c r="H81" s="11" t="str">
        <f t="shared" si="50"/>
        <v>CRSP06B</v>
      </c>
      <c r="I81" s="11" t="str">
        <f t="shared" si="51"/>
        <v>34</v>
      </c>
      <c r="J81" s="11" t="str">
        <f t="shared" si="52"/>
        <v>Creditor</v>
      </c>
      <c r="K81" s="11" t="str">
        <f>"CS001347"</f>
        <v>CS001347</v>
      </c>
      <c r="L81" s="10" t="str">
        <f>"Capita Business Services Ltd"</f>
        <v>Capita Business Services Ltd</v>
      </c>
      <c r="M81" s="12" t="str">
        <f>"11/01/2017 00:00:00"</f>
        <v>11/01/2017 00:00:00</v>
      </c>
      <c r="N81" s="12">
        <v>42746</v>
      </c>
      <c r="O81" s="10" t="str">
        <f>"C007841"</f>
        <v>C007841</v>
      </c>
      <c r="P81" s="13">
        <v>14500</v>
      </c>
      <c r="Q81" s="11" t="str">
        <f>"14500.0000"</f>
        <v>14500.0000</v>
      </c>
      <c r="R81" s="10" t="str">
        <f>"C0004364"</f>
        <v>C0004364</v>
      </c>
      <c r="S81" s="14" t="str">
        <f>"17400.0000"</f>
        <v>17400.0000</v>
      </c>
      <c r="T81" s="10">
        <v>28730</v>
      </c>
      <c r="U81" s="10">
        <v>1162</v>
      </c>
      <c r="V81" s="10" t="str">
        <f>"Indirect employee expenses"</f>
        <v>Indirect employee expenses</v>
      </c>
      <c r="W81" s="10" t="str">
        <f>"Employees"</f>
        <v>Employees</v>
      </c>
      <c r="X81" s="10" t="str">
        <f>VLOOKUP(U81,'[1]Account code lookup'!A:B,2,0)</f>
        <v>Training</v>
      </c>
      <c r="Z81" s="10" t="str">
        <f>"Finance and Procurement"</f>
        <v>Finance and Procurement</v>
      </c>
      <c r="AA81" s="10" t="str">
        <f>"Chief Finance Officer"</f>
        <v>Chief Finance Officer</v>
      </c>
      <c r="AB81" s="10" t="str">
        <f>"3cfo"</f>
        <v>3cfo</v>
      </c>
      <c r="AD81" s="10" t="str">
        <f>"cfo02"</f>
        <v>cfo02</v>
      </c>
      <c r="AE81" s="10" t="str">
        <f>"Finance &amp; Procurement / Benefits"</f>
        <v>Finance &amp; Procurement / Benefits</v>
      </c>
      <c r="AG81" s="10" t="str">
        <f>"28730/1162"</f>
        <v>28730/1162</v>
      </c>
      <c r="AI81" s="10" t="str">
        <f>"11emps"</f>
        <v>11emps</v>
      </c>
      <c r="AJ81" s="15" t="str">
        <f>"CT &amp; HB training 7.11.16 to 17.12.16"</f>
        <v>CT &amp; HB training 7.11.16 to 17.12.16</v>
      </c>
      <c r="AK81" s="10" t="str">
        <f t="shared" si="57"/>
        <v>Revenue</v>
      </c>
      <c r="AL81" s="10" t="str">
        <f>""</f>
        <v/>
      </c>
      <c r="AM81" s="10" t="str">
        <f>""</f>
        <v/>
      </c>
      <c r="AN81" s="10" t="str">
        <f>""</f>
        <v/>
      </c>
      <c r="AO81" s="10" t="str">
        <f>""</f>
        <v/>
      </c>
    </row>
    <row r="82" spans="1:41" s="10" customFormat="1" ht="409.6">
      <c r="A82" s="9"/>
      <c r="B82" s="9"/>
      <c r="C82" s="9"/>
      <c r="D82" s="10" t="str">
        <f>"32769"</f>
        <v>32769</v>
      </c>
      <c r="E82" s="11" t="str">
        <f>""</f>
        <v/>
      </c>
      <c r="F82" s="11" t="str">
        <f t="shared" si="48"/>
        <v>372418</v>
      </c>
      <c r="G82" s="11" t="str">
        <f t="shared" si="49"/>
        <v>2017toJAN</v>
      </c>
      <c r="H82" s="11" t="str">
        <f t="shared" si="50"/>
        <v>CRSP06B</v>
      </c>
      <c r="I82" s="11" t="str">
        <f t="shared" si="51"/>
        <v>34</v>
      </c>
      <c r="J82" s="11" t="str">
        <f t="shared" si="52"/>
        <v>Creditor</v>
      </c>
      <c r="K82" s="11" t="str">
        <f>"CS001347"</f>
        <v>CS001347</v>
      </c>
      <c r="L82" s="10" t="str">
        <f>"Capita Business Services Ltd"</f>
        <v>Capita Business Services Ltd</v>
      </c>
      <c r="M82" s="12" t="str">
        <f>"23/01/2017 00:00:00"</f>
        <v>23/01/2017 00:00:00</v>
      </c>
      <c r="N82" s="12">
        <v>42758</v>
      </c>
      <c r="O82" s="10" t="str">
        <f>"C007850"</f>
        <v>C007850</v>
      </c>
      <c r="P82" s="13">
        <v>457</v>
      </c>
      <c r="Q82" s="11" t="str">
        <f>"457.0000"</f>
        <v>457.0000</v>
      </c>
      <c r="R82" s="10" t="str">
        <f>"C0004531"</f>
        <v>C0004531</v>
      </c>
      <c r="S82" s="14" t="str">
        <f>"72412.3800"</f>
        <v>72412.3800</v>
      </c>
      <c r="T82" s="10">
        <v>28642</v>
      </c>
      <c r="U82" s="10">
        <v>1581</v>
      </c>
      <c r="V82" s="10" t="str">
        <f>"Grants and subscriptions"</f>
        <v>Grants and subscriptions</v>
      </c>
      <c r="W82" s="10" t="str">
        <f>"Supplies and Services"</f>
        <v>Supplies and Services</v>
      </c>
      <c r="X82" s="10" t="str">
        <f>VLOOKUP(U82,'[1]Account code lookup'!A:B,2,0)</f>
        <v>Subscriptions</v>
      </c>
      <c r="Z82" s="10" t="str">
        <f>"Regeneration and Housing"</f>
        <v>Regeneration and Housing</v>
      </c>
      <c r="AA82" s="10" t="str">
        <f>"Commercial Development"</f>
        <v>Commercial Development</v>
      </c>
      <c r="AB82" s="10" t="str">
        <f>"2cdb"</f>
        <v>2cdb</v>
      </c>
      <c r="AD82" s="10" t="str">
        <f>"cdb02"</f>
        <v>cdb02</v>
      </c>
      <c r="AE82" s="10" t="str">
        <f>"Regeneration &amp; Housing / Housing Needs"</f>
        <v>Regeneration &amp; Housing / Housing Needs</v>
      </c>
      <c r="AG82" s="10" t="str">
        <f>"28642/1581"</f>
        <v>28642/1581</v>
      </c>
      <c r="AI82" s="10" t="str">
        <f>"14suse"</f>
        <v>14suse</v>
      </c>
      <c r="AJ82" s="15" t="str">
        <f>"monthly provision of information to CBS"</f>
        <v>monthly provision of information to CBS</v>
      </c>
      <c r="AK82" s="10" t="str">
        <f t="shared" si="57"/>
        <v>Revenue</v>
      </c>
      <c r="AL82" s="10" t="str">
        <f>""</f>
        <v/>
      </c>
      <c r="AM82" s="10" t="str">
        <f>""</f>
        <v/>
      </c>
      <c r="AN82" s="10" t="str">
        <f>""</f>
        <v/>
      </c>
      <c r="AO82" s="10" t="str">
        <f>""</f>
        <v/>
      </c>
    </row>
    <row r="83" spans="1:41" s="10" customFormat="1" ht="409.6">
      <c r="A83" s="9"/>
      <c r="B83" s="9"/>
      <c r="C83" s="9"/>
      <c r="D83" s="10" t="str">
        <f>"32770"</f>
        <v>32770</v>
      </c>
      <c r="E83" s="11" t="str">
        <f>""</f>
        <v/>
      </c>
      <c r="F83" s="11" t="str">
        <f t="shared" si="48"/>
        <v>372418</v>
      </c>
      <c r="G83" s="11" t="str">
        <f t="shared" si="49"/>
        <v>2017toJAN</v>
      </c>
      <c r="H83" s="11" t="str">
        <f t="shared" si="50"/>
        <v>CRSP06B</v>
      </c>
      <c r="I83" s="11" t="str">
        <f t="shared" si="51"/>
        <v>34</v>
      </c>
      <c r="J83" s="11" t="str">
        <f t="shared" si="52"/>
        <v>Creditor</v>
      </c>
      <c r="K83" s="11" t="str">
        <f>"CS001347"</f>
        <v>CS001347</v>
      </c>
      <c r="L83" s="10" t="str">
        <f>"Capita Business Services Ltd"</f>
        <v>Capita Business Services Ltd</v>
      </c>
      <c r="M83" s="12" t="str">
        <f>"23/01/2017 00:00:00"</f>
        <v>23/01/2017 00:00:00</v>
      </c>
      <c r="N83" s="12">
        <v>42758</v>
      </c>
      <c r="O83" s="10" t="str">
        <f>"C007901"</f>
        <v>C007901</v>
      </c>
      <c r="P83" s="13">
        <v>59886.65</v>
      </c>
      <c r="Q83" s="11" t="str">
        <f>"59886.6500"</f>
        <v>59886.6500</v>
      </c>
      <c r="R83" s="10" t="str">
        <f>"C0004531"</f>
        <v>C0004531</v>
      </c>
      <c r="S83" s="14" t="str">
        <f>"72412.3800"</f>
        <v>72412.3800</v>
      </c>
      <c r="T83" s="10">
        <v>28730</v>
      </c>
      <c r="U83" s="10">
        <v>1765</v>
      </c>
      <c r="V83" s="10" t="str">
        <f>"Professional Fees"</f>
        <v>Professional Fees</v>
      </c>
      <c r="W83" s="10" t="str">
        <f>"Third Party Payments"</f>
        <v>Third Party Payments</v>
      </c>
      <c r="X83" s="10" t="str">
        <f>VLOOKUP(U83,'[1]Account code lookup'!A:B,2,0)</f>
        <v>Consultants Fees</v>
      </c>
      <c r="Z83" s="10" t="str">
        <f>"Finance and Procurement"</f>
        <v>Finance and Procurement</v>
      </c>
      <c r="AA83" s="10" t="str">
        <f>"Chief Finance Officer"</f>
        <v>Chief Finance Officer</v>
      </c>
      <c r="AB83" s="10" t="str">
        <f>"3cfo"</f>
        <v>3cfo</v>
      </c>
      <c r="AD83" s="10" t="str">
        <f>"cfo02"</f>
        <v>cfo02</v>
      </c>
      <c r="AE83" s="10" t="str">
        <f>"Finance &amp; Procurement / Finance"</f>
        <v>Finance &amp; Procurement / Finance</v>
      </c>
      <c r="AG83" s="10" t="str">
        <f>"28730/1765"</f>
        <v>28730/1765</v>
      </c>
      <c r="AI83" s="10" t="str">
        <f>"17tpp"</f>
        <v>17tpp</v>
      </c>
      <c r="AJ83" s="15" t="str">
        <f>""</f>
        <v/>
      </c>
      <c r="AK83" s="10" t="str">
        <f t="shared" si="57"/>
        <v>Revenue</v>
      </c>
      <c r="AL83" s="10" t="str">
        <f>""</f>
        <v/>
      </c>
      <c r="AM83" s="10" t="str">
        <f>""</f>
        <v/>
      </c>
      <c r="AN83" s="10" t="str">
        <f>""</f>
        <v/>
      </c>
      <c r="AO83" s="10" t="str">
        <f>""</f>
        <v/>
      </c>
    </row>
    <row r="84" spans="1:41" s="10" customFormat="1" ht="409.6">
      <c r="A84" s="9"/>
      <c r="B84" s="9"/>
      <c r="C84" s="9"/>
      <c r="D84" s="10" t="str">
        <f>"32816"</f>
        <v>32816</v>
      </c>
      <c r="E84" s="11" t="str">
        <f>""</f>
        <v/>
      </c>
      <c r="F84" s="11" t="str">
        <f t="shared" si="48"/>
        <v>372418</v>
      </c>
      <c r="G84" s="11" t="str">
        <f t="shared" si="49"/>
        <v>2017toJAN</v>
      </c>
      <c r="H84" s="11" t="str">
        <f t="shared" si="50"/>
        <v>CRSP06B</v>
      </c>
      <c r="I84" s="11" t="str">
        <f t="shared" si="51"/>
        <v>34</v>
      </c>
      <c r="J84" s="11" t="str">
        <f t="shared" si="52"/>
        <v>Creditor</v>
      </c>
      <c r="K84" s="11" t="str">
        <f t="shared" ref="K84:K90" si="58">"CS000014"</f>
        <v>CS000014</v>
      </c>
      <c r="L84" s="10" t="str">
        <f t="shared" ref="L84:L90" si="59">"Cash Friday "</f>
        <v xml:space="preserve">Cash Friday </v>
      </c>
      <c r="M84" s="12" t="str">
        <f>"09/01/2017 00:00:00"</f>
        <v>09/01/2017 00:00:00</v>
      </c>
      <c r="N84" s="12">
        <v>42744</v>
      </c>
      <c r="O84" s="10" t="str">
        <f>"C007735"</f>
        <v>C007735</v>
      </c>
      <c r="P84" s="13">
        <v>495.66</v>
      </c>
      <c r="Q84" s="11" t="str">
        <f>"495.6600"</f>
        <v>495.6600</v>
      </c>
      <c r="R84" s="10" t="str">
        <f>"C0004344"</f>
        <v>C0004344</v>
      </c>
      <c r="S84" s="14" t="str">
        <f>"633.9400"</f>
        <v>633.9400</v>
      </c>
      <c r="T84" s="10">
        <v>21732</v>
      </c>
      <c r="U84" s="10">
        <v>1136</v>
      </c>
      <c r="V84" s="10" t="str">
        <f t="shared" ref="V84:V90" si="60">"Direct employee exps and bens"</f>
        <v>Direct employee exps and bens</v>
      </c>
      <c r="W84" s="10" t="str">
        <f t="shared" ref="W84:W90" si="61">"Employees"</f>
        <v>Employees</v>
      </c>
      <c r="X84" s="10" t="str">
        <f>VLOOKUP(U84,'[1]Account code lookup'!A:B,2,0)</f>
        <v>Agency Staff</v>
      </c>
      <c r="Z84" s="10" t="str">
        <f t="shared" ref="Z84:Z90" si="62">"Human Resources"</f>
        <v>Human Resources</v>
      </c>
      <c r="AA84" s="10" t="str">
        <f t="shared" ref="AA84:AA95" si="63">"Commercial Development"</f>
        <v>Commercial Development</v>
      </c>
      <c r="AB84" s="10" t="str">
        <f t="shared" ref="AB84:AB95" si="64">"2cdb"</f>
        <v>2cdb</v>
      </c>
      <c r="AD84" s="10" t="str">
        <f t="shared" ref="AD84:AD90" si="65">"cdb03"</f>
        <v>cdb03</v>
      </c>
      <c r="AE84" s="10" t="str">
        <f t="shared" ref="AE84:AE90" si="66">"Finance &amp; Procurement / Head of Finance &amp; Procurement"</f>
        <v>Finance &amp; Procurement / Head of Finance &amp; Procurement</v>
      </c>
      <c r="AG84" s="10" t="str">
        <f t="shared" ref="AG84:AG90" si="67">"21732/1136"</f>
        <v>21732/1136</v>
      </c>
      <c r="AI84" s="10" t="str">
        <f t="shared" ref="AI84:AI90" si="68">"11emps"</f>
        <v>11emps</v>
      </c>
      <c r="AJ84" s="15" t="str">
        <f>"Temporary PA to the Head of Regeneration and Housing"</f>
        <v>Temporary PA to the Head of Regeneration and Housing</v>
      </c>
      <c r="AK84" s="10" t="str">
        <f t="shared" si="57"/>
        <v>Revenue</v>
      </c>
      <c r="AL84" s="10" t="str">
        <f>""</f>
        <v/>
      </c>
      <c r="AM84" s="10" t="str">
        <f>""</f>
        <v/>
      </c>
      <c r="AN84" s="10" t="str">
        <f>""</f>
        <v/>
      </c>
      <c r="AO84" s="10" t="str">
        <f>""</f>
        <v/>
      </c>
    </row>
    <row r="85" spans="1:41" s="10" customFormat="1" ht="409.6">
      <c r="A85" s="9"/>
      <c r="B85" s="9"/>
      <c r="C85" s="9"/>
      <c r="D85" s="10" t="str">
        <f>"33525"</f>
        <v>33525</v>
      </c>
      <c r="E85" s="11" t="str">
        <f>""</f>
        <v/>
      </c>
      <c r="F85" s="11" t="str">
        <f t="shared" si="48"/>
        <v>372418</v>
      </c>
      <c r="G85" s="11" t="str">
        <f t="shared" si="49"/>
        <v>2017toJAN</v>
      </c>
      <c r="H85" s="11" t="str">
        <f t="shared" si="50"/>
        <v>CRSP06B</v>
      </c>
      <c r="I85" s="11" t="str">
        <f t="shared" si="51"/>
        <v>34</v>
      </c>
      <c r="J85" s="11" t="str">
        <f t="shared" si="52"/>
        <v>Creditor</v>
      </c>
      <c r="K85" s="11" t="str">
        <f t="shared" si="58"/>
        <v>CS000014</v>
      </c>
      <c r="L85" s="10" t="str">
        <f t="shared" si="59"/>
        <v xml:space="preserve">Cash Friday </v>
      </c>
      <c r="M85" s="12" t="str">
        <f>"09/01/2017 00:00:00"</f>
        <v>09/01/2017 00:00:00</v>
      </c>
      <c r="N85" s="12">
        <v>42744</v>
      </c>
      <c r="O85" s="10" t="str">
        <f>"C007760"</f>
        <v>C007760</v>
      </c>
      <c r="P85" s="13">
        <v>32.619999999999997</v>
      </c>
      <c r="Q85" s="11" t="str">
        <f>"32.6200"</f>
        <v>32.6200</v>
      </c>
      <c r="R85" s="10" t="str">
        <f>"C0004344"</f>
        <v>C0004344</v>
      </c>
      <c r="S85" s="14" t="str">
        <f>"633.9400"</f>
        <v>633.9400</v>
      </c>
      <c r="T85" s="10">
        <v>21732</v>
      </c>
      <c r="U85" s="10">
        <v>1136</v>
      </c>
      <c r="V85" s="10" t="str">
        <f t="shared" si="60"/>
        <v>Direct employee exps and bens</v>
      </c>
      <c r="W85" s="10" t="str">
        <f t="shared" si="61"/>
        <v>Employees</v>
      </c>
      <c r="X85" s="10" t="str">
        <f>VLOOKUP(U85,'[1]Account code lookup'!A:B,2,0)</f>
        <v>Agency Staff</v>
      </c>
      <c r="Z85" s="10" t="str">
        <f t="shared" si="62"/>
        <v>Human Resources</v>
      </c>
      <c r="AA85" s="10" t="str">
        <f t="shared" si="63"/>
        <v>Commercial Development</v>
      </c>
      <c r="AB85" s="10" t="str">
        <f t="shared" si="64"/>
        <v>2cdb</v>
      </c>
      <c r="AD85" s="10" t="str">
        <f t="shared" si="65"/>
        <v>cdb03</v>
      </c>
      <c r="AE85" s="10" t="str">
        <f t="shared" si="66"/>
        <v>Finance &amp; Procurement / Head of Finance &amp; Procurement</v>
      </c>
      <c r="AG85" s="10" t="str">
        <f t="shared" si="67"/>
        <v>21732/1136</v>
      </c>
      <c r="AI85" s="10" t="str">
        <f t="shared" si="68"/>
        <v>11emps</v>
      </c>
      <c r="AJ85" s="15" t="str">
        <f>"Temporary PA to the Head of Regeneration and Housing"</f>
        <v>Temporary PA to the Head of Regeneration and Housing</v>
      </c>
      <c r="AK85" s="10" t="str">
        <f t="shared" si="57"/>
        <v>Revenue</v>
      </c>
      <c r="AL85" s="10" t="str">
        <f>""</f>
        <v/>
      </c>
      <c r="AM85" s="10" t="str">
        <f>""</f>
        <v/>
      </c>
      <c r="AN85" s="10" t="str">
        <f>""</f>
        <v/>
      </c>
      <c r="AO85" s="10" t="str">
        <f>""</f>
        <v/>
      </c>
    </row>
    <row r="86" spans="1:41" s="10" customFormat="1" ht="409.6">
      <c r="A86" s="9"/>
      <c r="B86" s="9"/>
      <c r="C86" s="9"/>
      <c r="D86" s="10" t="str">
        <f>"34049"</f>
        <v>34049</v>
      </c>
      <c r="E86" s="11" t="str">
        <f>""</f>
        <v/>
      </c>
      <c r="F86" s="11" t="str">
        <f t="shared" si="48"/>
        <v>372418</v>
      </c>
      <c r="G86" s="11" t="str">
        <f t="shared" si="49"/>
        <v>2017toJAN</v>
      </c>
      <c r="H86" s="11" t="str">
        <f t="shared" si="50"/>
        <v>CRSP06B</v>
      </c>
      <c r="I86" s="11" t="str">
        <f t="shared" si="51"/>
        <v>34</v>
      </c>
      <c r="J86" s="11" t="str">
        <f t="shared" si="52"/>
        <v>Creditor</v>
      </c>
      <c r="K86" s="11" t="str">
        <f t="shared" si="58"/>
        <v>CS000014</v>
      </c>
      <c r="L86" s="10" t="str">
        <f t="shared" si="59"/>
        <v xml:space="preserve">Cash Friday </v>
      </c>
      <c r="M86" s="12" t="str">
        <f>"11/01/2017 00:00:00"</f>
        <v>11/01/2017 00:00:00</v>
      </c>
      <c r="N86" s="12">
        <v>42746</v>
      </c>
      <c r="O86" s="10" t="str">
        <f>"C007771"</f>
        <v>C007771</v>
      </c>
      <c r="P86" s="13">
        <v>9.9</v>
      </c>
      <c r="Q86" s="11" t="str">
        <f>"9.9000"</f>
        <v>9.9000</v>
      </c>
      <c r="R86" s="10" t="str">
        <f>"C0004394"</f>
        <v>C0004394</v>
      </c>
      <c r="S86" s="14" t="str">
        <f>"1953.2800"</f>
        <v>1953.2800</v>
      </c>
      <c r="T86" s="10">
        <v>21732</v>
      </c>
      <c r="U86" s="10">
        <v>1136</v>
      </c>
      <c r="V86" s="10" t="str">
        <f t="shared" si="60"/>
        <v>Direct employee exps and bens</v>
      </c>
      <c r="W86" s="10" t="str">
        <f t="shared" si="61"/>
        <v>Employees</v>
      </c>
      <c r="X86" s="10" t="str">
        <f>VLOOKUP(U86,'[1]Account code lookup'!A:B,2,0)</f>
        <v>Agency Staff</v>
      </c>
      <c r="Z86" s="10" t="str">
        <f t="shared" si="62"/>
        <v>Human Resources</v>
      </c>
      <c r="AA86" s="10" t="str">
        <f t="shared" si="63"/>
        <v>Commercial Development</v>
      </c>
      <c r="AB86" s="10" t="str">
        <f t="shared" si="64"/>
        <v>2cdb</v>
      </c>
      <c r="AD86" s="10" t="str">
        <f t="shared" si="65"/>
        <v>cdb03</v>
      </c>
      <c r="AE86" s="10" t="str">
        <f t="shared" si="66"/>
        <v>Finance &amp; Procurement / Head of Finance &amp; Procurement</v>
      </c>
      <c r="AG86" s="10" t="str">
        <f t="shared" si="67"/>
        <v>21732/1136</v>
      </c>
      <c r="AI86" s="10" t="str">
        <f t="shared" si="68"/>
        <v>11emps</v>
      </c>
      <c r="AJ86" s="15" t="str">
        <f>"Mileage"</f>
        <v>Mileage</v>
      </c>
      <c r="AK86" s="10" t="str">
        <f t="shared" si="57"/>
        <v>Revenue</v>
      </c>
      <c r="AL86" s="10" t="str">
        <f>""</f>
        <v/>
      </c>
      <c r="AM86" s="10" t="str">
        <f>""</f>
        <v/>
      </c>
      <c r="AN86" s="10" t="str">
        <f>""</f>
        <v/>
      </c>
      <c r="AO86" s="10" t="str">
        <f>""</f>
        <v/>
      </c>
    </row>
    <row r="87" spans="1:41" s="10" customFormat="1" ht="409.6">
      <c r="A87" s="9"/>
      <c r="B87" s="9"/>
      <c r="C87" s="9"/>
      <c r="D87" s="10" t="str">
        <f>"34050"</f>
        <v>34050</v>
      </c>
      <c r="E87" s="11" t="str">
        <f>""</f>
        <v/>
      </c>
      <c r="F87" s="11" t="str">
        <f t="shared" si="48"/>
        <v>372418</v>
      </c>
      <c r="G87" s="11" t="str">
        <f t="shared" si="49"/>
        <v>2017toJAN</v>
      </c>
      <c r="H87" s="11" t="str">
        <f t="shared" si="50"/>
        <v>CRSP06B</v>
      </c>
      <c r="I87" s="11" t="str">
        <f t="shared" si="51"/>
        <v>34</v>
      </c>
      <c r="J87" s="11" t="str">
        <f t="shared" si="52"/>
        <v>Creditor</v>
      </c>
      <c r="K87" s="11" t="str">
        <f t="shared" si="58"/>
        <v>CS000014</v>
      </c>
      <c r="L87" s="10" t="str">
        <f t="shared" si="59"/>
        <v xml:space="preserve">Cash Friday </v>
      </c>
      <c r="M87" s="12" t="str">
        <f>"11/01/2017 00:00:00"</f>
        <v>11/01/2017 00:00:00</v>
      </c>
      <c r="N87" s="12">
        <v>42746</v>
      </c>
      <c r="O87" s="10" t="str">
        <f>"C007788"</f>
        <v>C007788</v>
      </c>
      <c r="P87" s="13">
        <v>809.74</v>
      </c>
      <c r="Q87" s="11" t="str">
        <f>"809.7400"</f>
        <v>809.7400</v>
      </c>
      <c r="R87" s="10" t="str">
        <f>"C0004394"</f>
        <v>C0004394</v>
      </c>
      <c r="S87" s="14" t="str">
        <f>"1953.2800"</f>
        <v>1953.2800</v>
      </c>
      <c r="T87" s="10">
        <v>21732</v>
      </c>
      <c r="U87" s="10">
        <v>1136</v>
      </c>
      <c r="V87" s="10" t="str">
        <f t="shared" si="60"/>
        <v>Direct employee exps and bens</v>
      </c>
      <c r="W87" s="10" t="str">
        <f t="shared" si="61"/>
        <v>Employees</v>
      </c>
      <c r="X87" s="10" t="str">
        <f>VLOOKUP(U87,'[1]Account code lookup'!A:B,2,0)</f>
        <v>Agency Staff</v>
      </c>
      <c r="Z87" s="10" t="str">
        <f t="shared" si="62"/>
        <v>Human Resources</v>
      </c>
      <c r="AA87" s="10" t="str">
        <f t="shared" si="63"/>
        <v>Commercial Development</v>
      </c>
      <c r="AB87" s="10" t="str">
        <f t="shared" si="64"/>
        <v>2cdb</v>
      </c>
      <c r="AD87" s="10" t="str">
        <f t="shared" si="65"/>
        <v>cdb03</v>
      </c>
      <c r="AE87" s="10" t="str">
        <f t="shared" si="66"/>
        <v>Finance &amp; Procurement / Head of Finance &amp; Procurement</v>
      </c>
      <c r="AG87" s="10" t="str">
        <f t="shared" si="67"/>
        <v>21732/1136</v>
      </c>
      <c r="AI87" s="10" t="str">
        <f t="shared" si="68"/>
        <v>11emps</v>
      </c>
      <c r="AJ87" s="15" t="str">
        <f>"Temporary PA support to Head of Regeneration and Housing - January 2017 -March 2017."</f>
        <v>Temporary PA support to Head of Regeneration and Housing - January 2017 -March 2017.</v>
      </c>
      <c r="AK87" s="10" t="str">
        <f t="shared" si="57"/>
        <v>Revenue</v>
      </c>
      <c r="AL87" s="10" t="str">
        <f>""</f>
        <v/>
      </c>
      <c r="AM87" s="10" t="str">
        <f>""</f>
        <v/>
      </c>
      <c r="AN87" s="10" t="str">
        <f>""</f>
        <v/>
      </c>
      <c r="AO87" s="10" t="str">
        <f>""</f>
        <v/>
      </c>
    </row>
    <row r="88" spans="1:41" s="10" customFormat="1" ht="409.6">
      <c r="A88" s="9"/>
      <c r="B88" s="9"/>
      <c r="C88" s="9"/>
      <c r="D88" s="10" t="str">
        <f>"34516"</f>
        <v>34516</v>
      </c>
      <c r="E88" s="11" t="str">
        <f>""</f>
        <v/>
      </c>
      <c r="F88" s="11" t="str">
        <f t="shared" si="48"/>
        <v>372418</v>
      </c>
      <c r="G88" s="11" t="str">
        <f t="shared" si="49"/>
        <v>2017toJAN</v>
      </c>
      <c r="H88" s="11" t="str">
        <f t="shared" si="50"/>
        <v>CRSP06B</v>
      </c>
      <c r="I88" s="11" t="str">
        <f t="shared" si="51"/>
        <v>34</v>
      </c>
      <c r="J88" s="11" t="str">
        <f t="shared" si="52"/>
        <v>Creditor</v>
      </c>
      <c r="K88" s="11" t="str">
        <f t="shared" si="58"/>
        <v>CS000014</v>
      </c>
      <c r="L88" s="10" t="str">
        <f t="shared" si="59"/>
        <v xml:space="preserve">Cash Friday </v>
      </c>
      <c r="M88" s="12" t="str">
        <f>"11/01/2017 00:00:00"</f>
        <v>11/01/2017 00:00:00</v>
      </c>
      <c r="N88" s="12">
        <v>42746</v>
      </c>
      <c r="O88" s="10" t="str">
        <f>"C007771"</f>
        <v>C007771</v>
      </c>
      <c r="P88" s="13">
        <v>809.74</v>
      </c>
      <c r="Q88" s="11" t="str">
        <f>"809.7400"</f>
        <v>809.7400</v>
      </c>
      <c r="R88" s="10" t="str">
        <f>"C0004394"</f>
        <v>C0004394</v>
      </c>
      <c r="S88" s="14" t="str">
        <f>"1953.2800"</f>
        <v>1953.2800</v>
      </c>
      <c r="T88" s="10">
        <v>21732</v>
      </c>
      <c r="U88" s="10">
        <v>1136</v>
      </c>
      <c r="V88" s="10" t="str">
        <f t="shared" si="60"/>
        <v>Direct employee exps and bens</v>
      </c>
      <c r="W88" s="10" t="str">
        <f t="shared" si="61"/>
        <v>Employees</v>
      </c>
      <c r="X88" s="10" t="str">
        <f>VLOOKUP(U88,'[1]Account code lookup'!A:B,2,0)</f>
        <v>Agency Staff</v>
      </c>
      <c r="Z88" s="10" t="str">
        <f t="shared" si="62"/>
        <v>Human Resources</v>
      </c>
      <c r="AA88" s="10" t="str">
        <f t="shared" si="63"/>
        <v>Commercial Development</v>
      </c>
      <c r="AB88" s="10" t="str">
        <f t="shared" si="64"/>
        <v>2cdb</v>
      </c>
      <c r="AD88" s="10" t="str">
        <f t="shared" si="65"/>
        <v>cdb03</v>
      </c>
      <c r="AE88" s="10" t="str">
        <f t="shared" si="66"/>
        <v>Finance &amp; Procurement / Head of Finance &amp; Procurement</v>
      </c>
      <c r="AG88" s="10" t="str">
        <f t="shared" si="67"/>
        <v>21732/1136</v>
      </c>
      <c r="AI88" s="10" t="str">
        <f t="shared" si="68"/>
        <v>11emps</v>
      </c>
      <c r="AJ88" s="15" t="str">
        <f>"Temporary PA to the Head of Regeneration and Housing"</f>
        <v>Temporary PA to the Head of Regeneration and Housing</v>
      </c>
      <c r="AK88" s="10" t="str">
        <f t="shared" si="57"/>
        <v>Revenue</v>
      </c>
      <c r="AL88" s="10" t="str">
        <f>""</f>
        <v/>
      </c>
      <c r="AM88" s="10" t="str">
        <f>""</f>
        <v/>
      </c>
      <c r="AN88" s="10" t="str">
        <f>""</f>
        <v/>
      </c>
      <c r="AO88" s="10" t="str">
        <f>""</f>
        <v/>
      </c>
    </row>
    <row r="89" spans="1:41" s="10" customFormat="1" ht="409.6">
      <c r="A89" s="9"/>
      <c r="B89" s="9"/>
      <c r="C89" s="9"/>
      <c r="D89" s="10" t="str">
        <f>"27640"</f>
        <v>27640</v>
      </c>
      <c r="E89" s="11" t="str">
        <f>""</f>
        <v/>
      </c>
      <c r="F89" s="11" t="str">
        <f t="shared" si="48"/>
        <v>372418</v>
      </c>
      <c r="G89" s="11" t="str">
        <f t="shared" si="49"/>
        <v>2017toJAN</v>
      </c>
      <c r="H89" s="11" t="str">
        <f t="shared" si="50"/>
        <v>CRSP06B</v>
      </c>
      <c r="I89" s="11" t="str">
        <f t="shared" si="51"/>
        <v>34</v>
      </c>
      <c r="J89" s="11" t="str">
        <f t="shared" si="52"/>
        <v>Creditor</v>
      </c>
      <c r="K89" s="11" t="str">
        <f t="shared" si="58"/>
        <v>CS000014</v>
      </c>
      <c r="L89" s="10" t="str">
        <f t="shared" si="59"/>
        <v xml:space="preserve">Cash Friday </v>
      </c>
      <c r="M89" s="12" t="str">
        <f>"20/01/2017 00:00:00"</f>
        <v>20/01/2017 00:00:00</v>
      </c>
      <c r="N89" s="12">
        <v>42755</v>
      </c>
      <c r="O89" s="10" t="str">
        <f>"C007999"</f>
        <v>C007999</v>
      </c>
      <c r="P89" s="13">
        <v>652.70000000000005</v>
      </c>
      <c r="Q89" s="11" t="str">
        <f>"652.7000"</f>
        <v>652.7000</v>
      </c>
      <c r="R89" s="10" t="str">
        <f>"C0004524"</f>
        <v>C0004524</v>
      </c>
      <c r="S89" s="14" t="str">
        <f>"783.2400"</f>
        <v>783.2400</v>
      </c>
      <c r="T89" s="10">
        <v>21732</v>
      </c>
      <c r="U89" s="10">
        <v>1136</v>
      </c>
      <c r="V89" s="10" t="str">
        <f t="shared" si="60"/>
        <v>Direct employee exps and bens</v>
      </c>
      <c r="W89" s="10" t="str">
        <f t="shared" si="61"/>
        <v>Employees</v>
      </c>
      <c r="X89" s="10" t="str">
        <f>VLOOKUP(U89,'[1]Account code lookup'!A:B,2,0)</f>
        <v>Agency Staff</v>
      </c>
      <c r="Z89" s="10" t="str">
        <f t="shared" si="62"/>
        <v>Human Resources</v>
      </c>
      <c r="AA89" s="10" t="str">
        <f t="shared" si="63"/>
        <v>Commercial Development</v>
      </c>
      <c r="AB89" s="10" t="str">
        <f t="shared" si="64"/>
        <v>2cdb</v>
      </c>
      <c r="AD89" s="10" t="str">
        <f t="shared" si="65"/>
        <v>cdb03</v>
      </c>
      <c r="AE89" s="10" t="str">
        <f t="shared" si="66"/>
        <v>Finance &amp; Procurement / Head of Finance &amp; Procurement</v>
      </c>
      <c r="AG89" s="10" t="str">
        <f t="shared" si="67"/>
        <v>21732/1136</v>
      </c>
      <c r="AI89" s="10" t="str">
        <f t="shared" si="68"/>
        <v>11emps</v>
      </c>
      <c r="AJ89" s="15" t="str">
        <f>"Temporary PA support to Head of Regeneration and Housing - January 2017 -March 2017."</f>
        <v>Temporary PA support to Head of Regeneration and Housing - January 2017 -March 2017.</v>
      </c>
      <c r="AK89" s="10" t="str">
        <f t="shared" si="57"/>
        <v>Revenue</v>
      </c>
      <c r="AL89" s="10" t="str">
        <f>""</f>
        <v/>
      </c>
      <c r="AM89" s="10" t="str">
        <f>""</f>
        <v/>
      </c>
      <c r="AN89" s="10" t="str">
        <f>""</f>
        <v/>
      </c>
      <c r="AO89" s="10" t="str">
        <f>""</f>
        <v/>
      </c>
    </row>
    <row r="90" spans="1:41" s="10" customFormat="1" ht="409.6">
      <c r="A90" s="9"/>
      <c r="B90" s="9"/>
      <c r="C90" s="9"/>
      <c r="D90" s="10" t="str">
        <f>"27736"</f>
        <v>27736</v>
      </c>
      <c r="E90" s="11" t="str">
        <f>""</f>
        <v/>
      </c>
      <c r="F90" s="11" t="str">
        <f t="shared" si="48"/>
        <v>372418</v>
      </c>
      <c r="G90" s="11" t="str">
        <f t="shared" si="49"/>
        <v>2017toJAN</v>
      </c>
      <c r="H90" s="11" t="str">
        <f t="shared" si="50"/>
        <v>CRSP06B</v>
      </c>
      <c r="I90" s="11" t="str">
        <f t="shared" si="51"/>
        <v>34</v>
      </c>
      <c r="J90" s="11" t="str">
        <f t="shared" si="52"/>
        <v>Creditor</v>
      </c>
      <c r="K90" s="11" t="str">
        <f t="shared" si="58"/>
        <v>CS000014</v>
      </c>
      <c r="L90" s="10" t="str">
        <f t="shared" si="59"/>
        <v xml:space="preserve">Cash Friday </v>
      </c>
      <c r="M90" s="12" t="str">
        <f>"25/01/2017 00:00:00"</f>
        <v>25/01/2017 00:00:00</v>
      </c>
      <c r="N90" s="12">
        <v>42760</v>
      </c>
      <c r="O90" s="10" t="str">
        <f>"C008090"</f>
        <v>C008090</v>
      </c>
      <c r="P90" s="13">
        <v>839.18</v>
      </c>
      <c r="Q90" s="11" t="str">
        <f>"839.1800"</f>
        <v>839.1800</v>
      </c>
      <c r="R90" s="10" t="str">
        <f>"C0004577"</f>
        <v>C0004577</v>
      </c>
      <c r="S90" s="14" t="str">
        <f>"1007.0200"</f>
        <v>1007.0200</v>
      </c>
      <c r="T90" s="10">
        <v>21732</v>
      </c>
      <c r="U90" s="10">
        <v>1136</v>
      </c>
      <c r="V90" s="10" t="str">
        <f t="shared" si="60"/>
        <v>Direct employee exps and bens</v>
      </c>
      <c r="W90" s="10" t="str">
        <f t="shared" si="61"/>
        <v>Employees</v>
      </c>
      <c r="X90" s="10" t="str">
        <f>VLOOKUP(U90,'[1]Account code lookup'!A:B,2,0)</f>
        <v>Agency Staff</v>
      </c>
      <c r="Z90" s="10" t="str">
        <f t="shared" si="62"/>
        <v>Human Resources</v>
      </c>
      <c r="AA90" s="10" t="str">
        <f t="shared" si="63"/>
        <v>Commercial Development</v>
      </c>
      <c r="AB90" s="10" t="str">
        <f t="shared" si="64"/>
        <v>2cdb</v>
      </c>
      <c r="AD90" s="10" t="str">
        <f t="shared" si="65"/>
        <v>cdb03</v>
      </c>
      <c r="AE90" s="10" t="str">
        <f t="shared" si="66"/>
        <v>Finance &amp; Procurement / Head of Finance &amp; Procurement</v>
      </c>
      <c r="AG90" s="10" t="str">
        <f t="shared" si="67"/>
        <v>21732/1136</v>
      </c>
      <c r="AI90" s="10" t="str">
        <f t="shared" si="68"/>
        <v>11emps</v>
      </c>
      <c r="AJ90" s="15" t="str">
        <f>"Temporary PA support to Head of Regeneration and Housing - January 2017 -March 2017."</f>
        <v>Temporary PA support to Head of Regeneration and Housing - January 2017 -March 2017.</v>
      </c>
      <c r="AK90" s="10" t="str">
        <f t="shared" si="57"/>
        <v>Revenue</v>
      </c>
      <c r="AL90" s="10" t="str">
        <f>""</f>
        <v/>
      </c>
      <c r="AM90" s="10" t="str">
        <f>""</f>
        <v/>
      </c>
      <c r="AN90" s="10" t="str">
        <f>""</f>
        <v/>
      </c>
      <c r="AO90" s="10" t="str">
        <f>""</f>
        <v/>
      </c>
    </row>
    <row r="91" spans="1:41" s="10" customFormat="1" ht="409.6">
      <c r="A91" s="9"/>
      <c r="B91" s="9"/>
      <c r="C91" s="9"/>
      <c r="D91" s="10" t="str">
        <f>"27857"</f>
        <v>27857</v>
      </c>
      <c r="E91" s="11" t="str">
        <f>""</f>
        <v/>
      </c>
      <c r="F91" s="11" t="str">
        <f t="shared" si="48"/>
        <v>372418</v>
      </c>
      <c r="G91" s="11" t="str">
        <f t="shared" si="49"/>
        <v>2017toJAN</v>
      </c>
      <c r="H91" s="11" t="str">
        <f t="shared" si="50"/>
        <v>CRSP06B</v>
      </c>
      <c r="I91" s="11" t="str">
        <f t="shared" si="51"/>
        <v>34</v>
      </c>
      <c r="J91" s="11" t="str">
        <f t="shared" si="52"/>
        <v>Creditor</v>
      </c>
      <c r="K91" s="11" t="str">
        <f>"CS002887"</f>
        <v>CS002887</v>
      </c>
      <c r="L91" s="10" t="str">
        <f>"Catercraft"</f>
        <v>Catercraft</v>
      </c>
      <c r="M91" s="12" t="str">
        <f>"10/01/2017 00:00:00"</f>
        <v>10/01/2017 00:00:00</v>
      </c>
      <c r="N91" s="12">
        <v>42745</v>
      </c>
      <c r="O91" s="10" t="str">
        <f>"C007005"</f>
        <v>C007005</v>
      </c>
      <c r="P91" s="13">
        <v>2920.5</v>
      </c>
      <c r="Q91" s="11" t="str">
        <f>"2920.5000"</f>
        <v>2920.5000</v>
      </c>
      <c r="R91" s="10" t="str">
        <f>"059220"</f>
        <v>059220</v>
      </c>
      <c r="S91" s="14" t="str">
        <f>"4630.3200"</f>
        <v>4630.3200</v>
      </c>
      <c r="T91" s="10">
        <v>21717</v>
      </c>
      <c r="U91" s="10">
        <v>1200</v>
      </c>
      <c r="V91" s="10" t="str">
        <f>"Repairs &amp; Maintenance"</f>
        <v>Repairs &amp; Maintenance</v>
      </c>
      <c r="W91" s="10" t="str">
        <f>"Premises Related Expenditure"</f>
        <v>Premises Related Expenditure</v>
      </c>
      <c r="X91" s="10" t="str">
        <f>VLOOKUP(U91,'[1]Account code lookup'!A:B,2,0)</f>
        <v>Repair &amp; Maintenance</v>
      </c>
      <c r="Z91" s="10" t="str">
        <f>"Regeneration and Housing"</f>
        <v>Regeneration and Housing</v>
      </c>
      <c r="AA91" s="10" t="str">
        <f t="shared" si="63"/>
        <v>Commercial Development</v>
      </c>
      <c r="AB91" s="10" t="str">
        <f t="shared" si="64"/>
        <v>2cdb</v>
      </c>
      <c r="AD91" s="10" t="str">
        <f>"cdb02"</f>
        <v>cdb02</v>
      </c>
      <c r="AE91" s="10" t="str">
        <f>"Finance &amp; Procurement / Finance"</f>
        <v>Finance &amp; Procurement / Finance</v>
      </c>
      <c r="AG91" s="10" t="str">
        <f>"21717/1200"</f>
        <v>21717/1200</v>
      </c>
      <c r="AI91" s="10" t="str">
        <f>"12prem"</f>
        <v>12prem</v>
      </c>
      <c r="AJ91" s="15" t="str">
        <f>"KIOSK 1 &amp; 2 PIONEER SQ BICESTER_x000D_
_x000D_
Deep Clean _x000D_
	Kiosk 1 &amp; 2, Pioneer Square, Bicester, OX26 6FA _x000D_
_x000D_
Schedule of works requested by client: _x000D_
_x000D_
1) To carry out a full canopy clean degreasing all surfaces, _x000D_
including plenum and filters, polish stainless s"</f>
        <v>KIOSK 1 &amp; 2 PIONEER SQ BICESTER_x000D_
_x000D_
Deep Clean _x000D_
	Kiosk 1 &amp; 2, Pioneer Square, Bicester, OX26 6FA _x000D_
_x000D_
Schedule of works requested by client: _x000D_
_x000D_
1) To carry out a full canopy clean degreasing all surfaces, _x000D_
including plenum and filters, polish stainless s</v>
      </c>
      <c r="AK91" s="10" t="str">
        <f t="shared" si="57"/>
        <v>Revenue</v>
      </c>
      <c r="AL91" s="10" t="str">
        <f>""</f>
        <v/>
      </c>
      <c r="AM91" s="10" t="str">
        <f>""</f>
        <v/>
      </c>
      <c r="AN91" s="10" t="str">
        <f>""</f>
        <v/>
      </c>
      <c r="AO91" s="10" t="str">
        <f>""</f>
        <v/>
      </c>
    </row>
    <row r="92" spans="1:41" s="10" customFormat="1" ht="409.6">
      <c r="A92" s="9"/>
      <c r="B92" s="9"/>
      <c r="C92" s="9"/>
      <c r="D92" s="10" t="str">
        <f>"28029"</f>
        <v>28029</v>
      </c>
      <c r="E92" s="11" t="str">
        <f>""</f>
        <v/>
      </c>
      <c r="F92" s="11" t="str">
        <f t="shared" si="48"/>
        <v>372418</v>
      </c>
      <c r="G92" s="11" t="str">
        <f t="shared" si="49"/>
        <v>2017toJAN</v>
      </c>
      <c r="H92" s="11" t="str">
        <f t="shared" si="50"/>
        <v>CRSP06B</v>
      </c>
      <c r="I92" s="11" t="str">
        <f t="shared" si="51"/>
        <v>34</v>
      </c>
      <c r="J92" s="11" t="str">
        <f t="shared" si="52"/>
        <v>Creditor</v>
      </c>
      <c r="K92" s="11" t="str">
        <f>"CS002887"</f>
        <v>CS002887</v>
      </c>
      <c r="L92" s="10" t="str">
        <f>"Catercraft"</f>
        <v>Catercraft</v>
      </c>
      <c r="M92" s="12" t="str">
        <f>"10/01/2017 00:00:00"</f>
        <v>10/01/2017 00:00:00</v>
      </c>
      <c r="N92" s="12">
        <v>42745</v>
      </c>
      <c r="O92" s="10" t="str">
        <f>"C007004"</f>
        <v>C007004</v>
      </c>
      <c r="P92" s="13">
        <v>938.1</v>
      </c>
      <c r="Q92" s="11" t="str">
        <f>"938.1000"</f>
        <v>938.1000</v>
      </c>
      <c r="R92" s="10" t="str">
        <f>"059220"</f>
        <v>059220</v>
      </c>
      <c r="S92" s="14" t="str">
        <f>"4630.3200"</f>
        <v>4630.3200</v>
      </c>
      <c r="T92" s="10">
        <v>21717</v>
      </c>
      <c r="U92" s="10">
        <v>1200</v>
      </c>
      <c r="V92" s="10" t="str">
        <f>"Repairs &amp; Maintenance"</f>
        <v>Repairs &amp; Maintenance</v>
      </c>
      <c r="W92" s="10" t="str">
        <f>"Premises Related Expenditure"</f>
        <v>Premises Related Expenditure</v>
      </c>
      <c r="X92" s="10" t="str">
        <f>VLOOKUP(U92,'[1]Account code lookup'!A:B,2,0)</f>
        <v>Repair &amp; Maintenance</v>
      </c>
      <c r="Z92" s="10" t="str">
        <f>"Regeneration and Housing"</f>
        <v>Regeneration and Housing</v>
      </c>
      <c r="AA92" s="10" t="str">
        <f t="shared" si="63"/>
        <v>Commercial Development</v>
      </c>
      <c r="AB92" s="10" t="str">
        <f t="shared" si="64"/>
        <v>2cdb</v>
      </c>
      <c r="AD92" s="10" t="str">
        <f>"cdb02"</f>
        <v>cdb02</v>
      </c>
      <c r="AE92" s="10" t="str">
        <f>"Finance &amp; Procurement / Finance"</f>
        <v>Finance &amp; Procurement / Finance</v>
      </c>
      <c r="AG92" s="10" t="str">
        <f>"21717/1200"</f>
        <v>21717/1200</v>
      </c>
      <c r="AI92" s="10" t="str">
        <f>"12prem"</f>
        <v>12prem</v>
      </c>
      <c r="AJ92" s="15" t="str">
        <f>"THE STABLES BODICOTE HOUSE_x000D_
_x000D_
Schedule of works requested by client: _x000D_
_x000D_
Schedule of Plant_x000D_
1) Grease extraction system X 2, hood, plenum, filters all _x000D_
accessible parts	£348.10_x000D_
_x000D_
The Works _x000D_
To carry out the internal cleaning of the grease extractor sys"</f>
        <v>THE STABLES BODICOTE HOUSE_x000D_
_x000D_
Schedule of works requested by client: _x000D_
_x000D_
Schedule of Plant_x000D_
1) Grease extraction system X 2, hood, plenum, filters all _x000D_
accessible parts	£348.10_x000D_
_x000D_
The Works _x000D_
To carry out the internal cleaning of the grease extractor sys</v>
      </c>
      <c r="AK92" s="10" t="str">
        <f t="shared" si="57"/>
        <v>Revenue</v>
      </c>
      <c r="AL92" s="10" t="str">
        <f>""</f>
        <v/>
      </c>
      <c r="AM92" s="10" t="str">
        <f>""</f>
        <v/>
      </c>
      <c r="AN92" s="10" t="str">
        <f>""</f>
        <v/>
      </c>
      <c r="AO92" s="10" t="str">
        <f>""</f>
        <v/>
      </c>
    </row>
    <row r="93" spans="1:41" s="10" customFormat="1" ht="409.6">
      <c r="A93" s="9"/>
      <c r="B93" s="9"/>
      <c r="C93" s="9"/>
      <c r="D93" s="10" t="str">
        <f>"28209"</f>
        <v>28209</v>
      </c>
      <c r="E93" s="11" t="str">
        <f>""</f>
        <v/>
      </c>
      <c r="F93" s="11" t="str">
        <f t="shared" si="48"/>
        <v>372418</v>
      </c>
      <c r="G93" s="11" t="str">
        <f t="shared" si="49"/>
        <v>2017toJAN</v>
      </c>
      <c r="H93" s="11" t="str">
        <f t="shared" si="50"/>
        <v>CRSP06B</v>
      </c>
      <c r="I93" s="11" t="str">
        <f t="shared" si="51"/>
        <v>34</v>
      </c>
      <c r="J93" s="11" t="str">
        <f t="shared" si="52"/>
        <v>Creditor</v>
      </c>
      <c r="K93" s="11" t="str">
        <f t="shared" ref="K93:K100" si="69">"CS001379"</f>
        <v>CS001379</v>
      </c>
      <c r="L93" s="10" t="str">
        <f t="shared" ref="L93:L100" si="70">"Champion Employment"</f>
        <v>Champion Employment</v>
      </c>
      <c r="M93" s="12" t="str">
        <f t="shared" ref="M93:M100" si="71">"18/01/2017 00:00:00"</f>
        <v>18/01/2017 00:00:00</v>
      </c>
      <c r="N93" s="12">
        <v>42753</v>
      </c>
      <c r="O93" s="10" t="str">
        <f t="shared" ref="O93:O100" si="72">"C007687"</f>
        <v>C007687</v>
      </c>
      <c r="P93" s="13">
        <v>455.4</v>
      </c>
      <c r="Q93" s="11" t="str">
        <f>"455.4000"</f>
        <v>455.4000</v>
      </c>
      <c r="R93" s="10" t="str">
        <f t="shared" ref="R93:R100" si="73">"C0004478"</f>
        <v>C0004478</v>
      </c>
      <c r="S93" s="14" t="str">
        <f t="shared" ref="S93:S100" si="74">"35601.1300"</f>
        <v>35601.1300</v>
      </c>
      <c r="T93" s="10">
        <v>21714</v>
      </c>
      <c r="U93" s="10">
        <v>1136</v>
      </c>
      <c r="V93" s="10" t="str">
        <f t="shared" ref="V93:V100" si="75">"Direct employee exps and bens"</f>
        <v>Direct employee exps and bens</v>
      </c>
      <c r="W93" s="10" t="str">
        <f t="shared" ref="W93:W100" si="76">"Employees"</f>
        <v>Employees</v>
      </c>
      <c r="X93" s="10" t="str">
        <f>VLOOKUP(U93,'[1]Account code lookup'!A:B,2,0)</f>
        <v>Agency Staff</v>
      </c>
      <c r="Z93" s="10" t="str">
        <f>"Regeneration and Housing"</f>
        <v>Regeneration and Housing</v>
      </c>
      <c r="AA93" s="10" t="str">
        <f t="shared" si="63"/>
        <v>Commercial Development</v>
      </c>
      <c r="AB93" s="10" t="str">
        <f t="shared" si="64"/>
        <v>2cdb</v>
      </c>
      <c r="AD93" s="10" t="str">
        <f>"cdb02"</f>
        <v>cdb02</v>
      </c>
      <c r="AE93" s="10" t="str">
        <f t="shared" ref="AE93:AE100" si="77">"Transformation / Human Resources"</f>
        <v>Transformation / Human Resources</v>
      </c>
      <c r="AG93" s="10" t="str">
        <f>"21714/1136"</f>
        <v>21714/1136</v>
      </c>
      <c r="AI93" s="10" t="str">
        <f t="shared" ref="AI93:AI100" si="78">"11emps"</f>
        <v>11emps</v>
      </c>
      <c r="AJ93" s="15" t="str">
        <f>"penny smith "</f>
        <v xml:space="preserve">penny smith </v>
      </c>
      <c r="AK93" s="10" t="str">
        <f t="shared" si="57"/>
        <v>Revenue</v>
      </c>
      <c r="AL93" s="10" t="str">
        <f>""</f>
        <v/>
      </c>
      <c r="AM93" s="10" t="str">
        <f>""</f>
        <v/>
      </c>
      <c r="AN93" s="10" t="str">
        <f>""</f>
        <v/>
      </c>
      <c r="AO93" s="10" t="str">
        <f>""</f>
        <v/>
      </c>
    </row>
    <row r="94" spans="1:41" s="10" customFormat="1" ht="409.6">
      <c r="A94" s="9"/>
      <c r="B94" s="9"/>
      <c r="C94" s="9"/>
      <c r="D94" s="10" t="str">
        <f>"28555"</f>
        <v>28555</v>
      </c>
      <c r="E94" s="11" t="str">
        <f>""</f>
        <v/>
      </c>
      <c r="F94" s="11" t="str">
        <f t="shared" si="48"/>
        <v>372418</v>
      </c>
      <c r="G94" s="11" t="str">
        <f t="shared" si="49"/>
        <v>2017toJAN</v>
      </c>
      <c r="H94" s="11" t="str">
        <f t="shared" si="50"/>
        <v>CRSP06B</v>
      </c>
      <c r="I94" s="11" t="str">
        <f t="shared" si="51"/>
        <v>34</v>
      </c>
      <c r="J94" s="11" t="str">
        <f t="shared" si="52"/>
        <v>Creditor</v>
      </c>
      <c r="K94" s="11" t="str">
        <f t="shared" si="69"/>
        <v>CS001379</v>
      </c>
      <c r="L94" s="10" t="str">
        <f t="shared" si="70"/>
        <v>Champion Employment</v>
      </c>
      <c r="M94" s="12" t="str">
        <f t="shared" si="71"/>
        <v>18/01/2017 00:00:00</v>
      </c>
      <c r="N94" s="12">
        <v>42753</v>
      </c>
      <c r="O94" s="10" t="str">
        <f t="shared" si="72"/>
        <v>C007687</v>
      </c>
      <c r="P94" s="13">
        <v>2425.81</v>
      </c>
      <c r="Q94" s="11" t="str">
        <f>"2425.8100"</f>
        <v>2425.8100</v>
      </c>
      <c r="R94" s="10" t="str">
        <f t="shared" si="73"/>
        <v>C0004478</v>
      </c>
      <c r="S94" s="14" t="str">
        <f t="shared" si="74"/>
        <v>35601.1300</v>
      </c>
      <c r="T94" s="10">
        <v>21723</v>
      </c>
      <c r="U94" s="10">
        <v>1136</v>
      </c>
      <c r="V94" s="10" t="str">
        <f t="shared" si="75"/>
        <v>Direct employee exps and bens</v>
      </c>
      <c r="W94" s="10" t="str">
        <f t="shared" si="76"/>
        <v>Employees</v>
      </c>
      <c r="X94" s="10" t="str">
        <f>VLOOKUP(U94,'[1]Account code lookup'!A:B,2,0)</f>
        <v>Agency Staff</v>
      </c>
      <c r="Z94" s="10" t="str">
        <f>"Regeneration and Housing"</f>
        <v>Regeneration and Housing</v>
      </c>
      <c r="AA94" s="10" t="str">
        <f t="shared" si="63"/>
        <v>Commercial Development</v>
      </c>
      <c r="AB94" s="10" t="str">
        <f t="shared" si="64"/>
        <v>2cdb</v>
      </c>
      <c r="AD94" s="10" t="str">
        <f>"cdb02"</f>
        <v>cdb02</v>
      </c>
      <c r="AE94" s="10" t="str">
        <f t="shared" si="77"/>
        <v>Transformation / Human Resources</v>
      </c>
      <c r="AG94" s="10" t="str">
        <f>"21723/1136"</f>
        <v>21723/1136</v>
      </c>
      <c r="AI94" s="10" t="str">
        <f t="shared" si="78"/>
        <v>11emps</v>
      </c>
      <c r="AJ94" s="15" t="str">
        <f>"denise somerton"</f>
        <v>denise somerton</v>
      </c>
      <c r="AK94" s="10" t="str">
        <f t="shared" si="57"/>
        <v>Revenue</v>
      </c>
      <c r="AL94" s="10" t="str">
        <f>""</f>
        <v/>
      </c>
      <c r="AM94" s="10" t="str">
        <f>""</f>
        <v/>
      </c>
      <c r="AN94" s="10" t="str">
        <f>""</f>
        <v/>
      </c>
      <c r="AO94" s="10" t="str">
        <f>""</f>
        <v/>
      </c>
    </row>
    <row r="95" spans="1:41" s="10" customFormat="1" ht="409.6">
      <c r="A95" s="9"/>
      <c r="B95" s="9"/>
      <c r="C95" s="9"/>
      <c r="D95" s="10" t="str">
        <f>"28728"</f>
        <v>28728</v>
      </c>
      <c r="E95" s="11" t="str">
        <f>""</f>
        <v/>
      </c>
      <c r="F95" s="11" t="str">
        <f t="shared" si="48"/>
        <v>372418</v>
      </c>
      <c r="G95" s="11" t="str">
        <f t="shared" si="49"/>
        <v>2017toJAN</v>
      </c>
      <c r="H95" s="11" t="str">
        <f t="shared" si="50"/>
        <v>CRSP06B</v>
      </c>
      <c r="I95" s="11" t="str">
        <f t="shared" si="51"/>
        <v>34</v>
      </c>
      <c r="J95" s="11" t="str">
        <f t="shared" si="52"/>
        <v>Creditor</v>
      </c>
      <c r="K95" s="11" t="str">
        <f t="shared" si="69"/>
        <v>CS001379</v>
      </c>
      <c r="L95" s="10" t="str">
        <f t="shared" si="70"/>
        <v>Champion Employment</v>
      </c>
      <c r="M95" s="12" t="str">
        <f t="shared" si="71"/>
        <v>18/01/2017 00:00:00</v>
      </c>
      <c r="N95" s="12">
        <v>42753</v>
      </c>
      <c r="O95" s="10" t="str">
        <f t="shared" si="72"/>
        <v>C007687</v>
      </c>
      <c r="P95" s="13">
        <v>561.94000000000005</v>
      </c>
      <c r="Q95" s="11" t="str">
        <f>"561.9400"</f>
        <v>561.9400</v>
      </c>
      <c r="R95" s="10" t="str">
        <f t="shared" si="73"/>
        <v>C0004478</v>
      </c>
      <c r="S95" s="14" t="str">
        <f t="shared" si="74"/>
        <v>35601.1300</v>
      </c>
      <c r="T95" s="10">
        <v>21723</v>
      </c>
      <c r="U95" s="10">
        <v>1136</v>
      </c>
      <c r="V95" s="10" t="str">
        <f t="shared" si="75"/>
        <v>Direct employee exps and bens</v>
      </c>
      <c r="W95" s="10" t="str">
        <f t="shared" si="76"/>
        <v>Employees</v>
      </c>
      <c r="X95" s="10" t="str">
        <f>VLOOKUP(U95,'[1]Account code lookup'!A:B,2,0)</f>
        <v>Agency Staff</v>
      </c>
      <c r="Z95" s="10" t="str">
        <f>"Regeneration and Housing"</f>
        <v>Regeneration and Housing</v>
      </c>
      <c r="AA95" s="10" t="str">
        <f t="shared" si="63"/>
        <v>Commercial Development</v>
      </c>
      <c r="AB95" s="10" t="str">
        <f t="shared" si="64"/>
        <v>2cdb</v>
      </c>
      <c r="AD95" s="10" t="str">
        <f>"cdb02"</f>
        <v>cdb02</v>
      </c>
      <c r="AE95" s="10" t="str">
        <f t="shared" si="77"/>
        <v>Transformation / Human Resources</v>
      </c>
      <c r="AG95" s="10" t="str">
        <f>"21723/1136"</f>
        <v>21723/1136</v>
      </c>
      <c r="AI95" s="10" t="str">
        <f t="shared" si="78"/>
        <v>11emps</v>
      </c>
      <c r="AJ95" s="15" t="str">
        <f>"sophie bridges gabriela wisniewska"</f>
        <v>sophie bridges gabriela wisniewska</v>
      </c>
      <c r="AK95" s="10" t="str">
        <f t="shared" si="57"/>
        <v>Revenue</v>
      </c>
      <c r="AL95" s="10" t="str">
        <f>""</f>
        <v/>
      </c>
      <c r="AM95" s="10" t="str">
        <f>""</f>
        <v/>
      </c>
      <c r="AN95" s="10" t="str">
        <f>""</f>
        <v/>
      </c>
      <c r="AO95" s="10" t="str">
        <f>""</f>
        <v/>
      </c>
    </row>
    <row r="96" spans="1:41" s="10" customFormat="1" ht="409.6">
      <c r="A96" s="9"/>
      <c r="B96" s="9"/>
      <c r="C96" s="9"/>
      <c r="D96" s="10" t="str">
        <f>"28729"</f>
        <v>28729</v>
      </c>
      <c r="E96" s="11" t="str">
        <f>""</f>
        <v/>
      </c>
      <c r="F96" s="11" t="str">
        <f t="shared" si="48"/>
        <v>372418</v>
      </c>
      <c r="G96" s="11" t="str">
        <f t="shared" si="49"/>
        <v>2017toJAN</v>
      </c>
      <c r="H96" s="11" t="str">
        <f t="shared" si="50"/>
        <v>CRSP06B</v>
      </c>
      <c r="I96" s="11" t="str">
        <f t="shared" si="51"/>
        <v>34</v>
      </c>
      <c r="J96" s="11" t="str">
        <f t="shared" si="52"/>
        <v>Creditor</v>
      </c>
      <c r="K96" s="11" t="str">
        <f t="shared" si="69"/>
        <v>CS001379</v>
      </c>
      <c r="L96" s="10" t="str">
        <f t="shared" si="70"/>
        <v>Champion Employment</v>
      </c>
      <c r="M96" s="12" t="str">
        <f t="shared" si="71"/>
        <v>18/01/2017 00:00:00</v>
      </c>
      <c r="N96" s="12">
        <v>42753</v>
      </c>
      <c r="O96" s="10" t="str">
        <f t="shared" si="72"/>
        <v>C007687</v>
      </c>
      <c r="P96" s="13">
        <v>4298.8900000000003</v>
      </c>
      <c r="Q96" s="11" t="str">
        <f>"4298.8900"</f>
        <v>4298.8900</v>
      </c>
      <c r="R96" s="10" t="str">
        <f t="shared" si="73"/>
        <v>C0004478</v>
      </c>
      <c r="S96" s="14" t="str">
        <f t="shared" si="74"/>
        <v>35601.1300</v>
      </c>
      <c r="T96" s="10">
        <v>22106</v>
      </c>
      <c r="U96" s="10">
        <v>1136</v>
      </c>
      <c r="V96" s="10" t="str">
        <f t="shared" si="75"/>
        <v>Direct employee exps and bens</v>
      </c>
      <c r="W96" s="10" t="str">
        <f t="shared" si="76"/>
        <v>Employees</v>
      </c>
      <c r="X96" s="10" t="str">
        <f>VLOOKUP(U96,'[1]Account code lookup'!A:B,2,0)</f>
        <v>Agency Staff</v>
      </c>
      <c r="Z96" s="10" t="str">
        <f>"Performance"</f>
        <v>Performance</v>
      </c>
      <c r="AA96" s="10" t="str">
        <f>"Strategy and Commissioning"</f>
        <v>Strategy and Commissioning</v>
      </c>
      <c r="AB96" s="10" t="str">
        <f>"4sac"</f>
        <v>4sac</v>
      </c>
      <c r="AD96" s="10" t="str">
        <f>"sac06"</f>
        <v>sac06</v>
      </c>
      <c r="AE96" s="10" t="str">
        <f t="shared" si="77"/>
        <v>Transformation / Human Resources</v>
      </c>
      <c r="AG96" s="10" t="str">
        <f>"22106/1136"</f>
        <v>22106/1136</v>
      </c>
      <c r="AI96" s="10" t="str">
        <f t="shared" si="78"/>
        <v>11emps</v>
      </c>
      <c r="AJ96" s="15" t="str">
        <f>"breda lamb nicola leonard "</f>
        <v xml:space="preserve">breda lamb nicola leonard </v>
      </c>
      <c r="AK96" s="10" t="str">
        <f t="shared" si="57"/>
        <v>Revenue</v>
      </c>
      <c r="AL96" s="10" t="str">
        <f>""</f>
        <v/>
      </c>
      <c r="AM96" s="10" t="str">
        <f>""</f>
        <v/>
      </c>
      <c r="AN96" s="10" t="str">
        <f>""</f>
        <v/>
      </c>
      <c r="AO96" s="10" t="str">
        <f>""</f>
        <v/>
      </c>
    </row>
    <row r="97" spans="1:41" s="10" customFormat="1" ht="409.6">
      <c r="A97" s="9"/>
      <c r="B97" s="9"/>
      <c r="C97" s="9"/>
      <c r="D97" s="10" t="str">
        <f>"29563"</f>
        <v>29563</v>
      </c>
      <c r="E97" s="11" t="str">
        <f>""</f>
        <v/>
      </c>
      <c r="F97" s="11" t="str">
        <f t="shared" si="48"/>
        <v>372418</v>
      </c>
      <c r="G97" s="11" t="str">
        <f t="shared" si="49"/>
        <v>2017toJAN</v>
      </c>
      <c r="H97" s="11" t="str">
        <f t="shared" si="50"/>
        <v>CRSP06B</v>
      </c>
      <c r="I97" s="11" t="str">
        <f t="shared" si="51"/>
        <v>34</v>
      </c>
      <c r="J97" s="11" t="str">
        <f t="shared" si="52"/>
        <v>Creditor</v>
      </c>
      <c r="K97" s="11" t="str">
        <f t="shared" si="69"/>
        <v>CS001379</v>
      </c>
      <c r="L97" s="10" t="str">
        <f t="shared" si="70"/>
        <v>Champion Employment</v>
      </c>
      <c r="M97" s="12" t="str">
        <f t="shared" si="71"/>
        <v>18/01/2017 00:00:00</v>
      </c>
      <c r="N97" s="12">
        <v>42753</v>
      </c>
      <c r="O97" s="10" t="str">
        <f t="shared" si="72"/>
        <v>C007687</v>
      </c>
      <c r="P97" s="13">
        <v>705.67</v>
      </c>
      <c r="Q97" s="11" t="str">
        <f>"705.6700"</f>
        <v>705.6700</v>
      </c>
      <c r="R97" s="10" t="str">
        <f t="shared" si="73"/>
        <v>C0004478</v>
      </c>
      <c r="S97" s="14" t="str">
        <f t="shared" si="74"/>
        <v>35601.1300</v>
      </c>
      <c r="T97" s="10">
        <v>22107</v>
      </c>
      <c r="U97" s="10">
        <v>1136</v>
      </c>
      <c r="V97" s="10" t="str">
        <f t="shared" si="75"/>
        <v>Direct employee exps and bens</v>
      </c>
      <c r="W97" s="10" t="str">
        <f t="shared" si="76"/>
        <v>Employees</v>
      </c>
      <c r="X97" s="10" t="str">
        <f>VLOOKUP(U97,'[1]Account code lookup'!A:B,2,0)</f>
        <v>Agency Staff</v>
      </c>
      <c r="Z97" s="10" t="str">
        <f>"Communications and Corporate P"</f>
        <v>Communications and Corporate P</v>
      </c>
      <c r="AA97" s="10" t="str">
        <f>"Strategy and Commissioning"</f>
        <v>Strategy and Commissioning</v>
      </c>
      <c r="AB97" s="10" t="str">
        <f>"4sac"</f>
        <v>4sac</v>
      </c>
      <c r="AD97" s="10" t="str">
        <f>"sac03"</f>
        <v>sac03</v>
      </c>
      <c r="AE97" s="10" t="str">
        <f t="shared" si="77"/>
        <v>Transformation / Human Resources</v>
      </c>
      <c r="AG97" s="10" t="str">
        <f>"22107/1136"</f>
        <v>22107/1136</v>
      </c>
      <c r="AI97" s="10" t="str">
        <f t="shared" si="78"/>
        <v>11emps</v>
      </c>
      <c r="AJ97" s="15" t="str">
        <f>"thomas slingsby "</f>
        <v xml:space="preserve">thomas slingsby </v>
      </c>
      <c r="AK97" s="10" t="str">
        <f t="shared" si="57"/>
        <v>Revenue</v>
      </c>
      <c r="AL97" s="10" t="str">
        <f>""</f>
        <v/>
      </c>
      <c r="AM97" s="10" t="str">
        <f>""</f>
        <v/>
      </c>
      <c r="AN97" s="10" t="str">
        <f>""</f>
        <v/>
      </c>
      <c r="AO97" s="10" t="str">
        <f>""</f>
        <v/>
      </c>
    </row>
    <row r="98" spans="1:41" s="10" customFormat="1" ht="409.6">
      <c r="A98" s="9"/>
      <c r="B98" s="9"/>
      <c r="C98" s="9"/>
      <c r="D98" s="10" t="str">
        <f>"29613"</f>
        <v>29613</v>
      </c>
      <c r="E98" s="11" t="str">
        <f>""</f>
        <v/>
      </c>
      <c r="F98" s="11" t="str">
        <f t="shared" si="48"/>
        <v>372418</v>
      </c>
      <c r="G98" s="11" t="str">
        <f t="shared" si="49"/>
        <v>2017toJAN</v>
      </c>
      <c r="H98" s="11" t="str">
        <f t="shared" si="50"/>
        <v>CRSP06B</v>
      </c>
      <c r="I98" s="11" t="str">
        <f t="shared" si="51"/>
        <v>34</v>
      </c>
      <c r="J98" s="11" t="str">
        <f t="shared" si="52"/>
        <v>Creditor</v>
      </c>
      <c r="K98" s="11" t="str">
        <f t="shared" si="69"/>
        <v>CS001379</v>
      </c>
      <c r="L98" s="10" t="str">
        <f t="shared" si="70"/>
        <v>Champion Employment</v>
      </c>
      <c r="M98" s="12" t="str">
        <f t="shared" si="71"/>
        <v>18/01/2017 00:00:00</v>
      </c>
      <c r="N98" s="12">
        <v>42753</v>
      </c>
      <c r="O98" s="10" t="str">
        <f t="shared" si="72"/>
        <v>C007687</v>
      </c>
      <c r="P98" s="13">
        <v>15519</v>
      </c>
      <c r="Q98" s="11" t="str">
        <f>"15519.0000"</f>
        <v>15519.0000</v>
      </c>
      <c r="R98" s="10" t="str">
        <f t="shared" si="73"/>
        <v>C0004478</v>
      </c>
      <c r="S98" s="14" t="str">
        <f t="shared" si="74"/>
        <v>35601.1300</v>
      </c>
      <c r="T98" s="10">
        <v>25801</v>
      </c>
      <c r="U98" s="10">
        <v>1136</v>
      </c>
      <c r="V98" s="10" t="str">
        <f t="shared" si="75"/>
        <v>Direct employee exps and bens</v>
      </c>
      <c r="W98" s="10" t="str">
        <f t="shared" si="76"/>
        <v>Employees</v>
      </c>
      <c r="X98" s="10" t="str">
        <f>VLOOKUP(U98,'[1]Account code lookup'!A:B,2,0)</f>
        <v>Agency Staff</v>
      </c>
      <c r="Z98" s="10" t="str">
        <f>"Environmental Services"</f>
        <v>Environmental Services</v>
      </c>
      <c r="AA98" s="10" t="str">
        <f>"Operations and Delivery"</f>
        <v>Operations and Delivery</v>
      </c>
      <c r="AB98" s="10" t="str">
        <f>"5oad"</f>
        <v>5oad</v>
      </c>
      <c r="AD98" s="10" t="str">
        <f>"oad02"</f>
        <v>oad02</v>
      </c>
      <c r="AE98" s="10" t="str">
        <f t="shared" si="77"/>
        <v>Transformation / Human Resources</v>
      </c>
      <c r="AG98" s="10" t="str">
        <f>"25801/1136"</f>
        <v>25801/1136</v>
      </c>
      <c r="AI98" s="10" t="str">
        <f t="shared" si="78"/>
        <v>11emps</v>
      </c>
      <c r="AJ98" s="15" t="str">
        <f>"adam simons hawk cadle dylan curtin scott kaye paul mccammon phillips cousins jonathan hewllett"</f>
        <v>adam simons hawk cadle dylan curtin scott kaye paul mccammon phillips cousins jonathan hewllett</v>
      </c>
      <c r="AK98" s="10" t="str">
        <f t="shared" si="57"/>
        <v>Revenue</v>
      </c>
      <c r="AL98" s="10" t="str">
        <f>""</f>
        <v/>
      </c>
      <c r="AM98" s="10" t="str">
        <f>""</f>
        <v/>
      </c>
      <c r="AN98" s="10" t="str">
        <f>""</f>
        <v/>
      </c>
      <c r="AO98" s="10" t="str">
        <f>""</f>
        <v/>
      </c>
    </row>
    <row r="99" spans="1:41" s="10" customFormat="1" ht="409.6">
      <c r="A99" s="9"/>
      <c r="B99" s="9"/>
      <c r="C99" s="9"/>
      <c r="D99" s="10" t="str">
        <f>"30086"</f>
        <v>30086</v>
      </c>
      <c r="E99" s="11" t="str">
        <f>""</f>
        <v/>
      </c>
      <c r="F99" s="11" t="str">
        <f t="shared" si="48"/>
        <v>372418</v>
      </c>
      <c r="G99" s="11" t="str">
        <f t="shared" si="49"/>
        <v>2017toJAN</v>
      </c>
      <c r="H99" s="11" t="str">
        <f t="shared" si="50"/>
        <v>CRSP06B</v>
      </c>
      <c r="I99" s="11" t="str">
        <f t="shared" si="51"/>
        <v>34</v>
      </c>
      <c r="J99" s="11" t="str">
        <f t="shared" si="52"/>
        <v>Creditor</v>
      </c>
      <c r="K99" s="11" t="str">
        <f t="shared" si="69"/>
        <v>CS001379</v>
      </c>
      <c r="L99" s="10" t="str">
        <f t="shared" si="70"/>
        <v>Champion Employment</v>
      </c>
      <c r="M99" s="12" t="str">
        <f t="shared" si="71"/>
        <v>18/01/2017 00:00:00</v>
      </c>
      <c r="N99" s="12">
        <v>42753</v>
      </c>
      <c r="O99" s="10" t="str">
        <f t="shared" si="72"/>
        <v>C007687</v>
      </c>
      <c r="P99" s="13">
        <v>1315.95</v>
      </c>
      <c r="Q99" s="11" t="str">
        <f>"1315.9500"</f>
        <v>1315.9500</v>
      </c>
      <c r="R99" s="10" t="str">
        <f t="shared" si="73"/>
        <v>C0004478</v>
      </c>
      <c r="S99" s="14" t="str">
        <f t="shared" si="74"/>
        <v>35601.1300</v>
      </c>
      <c r="T99" s="10">
        <v>27010</v>
      </c>
      <c r="U99" s="10">
        <v>1136</v>
      </c>
      <c r="V99" s="10" t="str">
        <f t="shared" si="75"/>
        <v>Direct employee exps and bens</v>
      </c>
      <c r="W99" s="10" t="str">
        <f t="shared" si="76"/>
        <v>Employees</v>
      </c>
      <c r="X99" s="10" t="str">
        <f>VLOOKUP(U99,'[1]Account code lookup'!A:B,2,0)</f>
        <v>Agency Staff</v>
      </c>
      <c r="Z99" s="10" t="str">
        <f>"Community Services"</f>
        <v>Community Services</v>
      </c>
      <c r="AA99" s="10" t="str">
        <f>"Operations and Delivery"</f>
        <v>Operations and Delivery</v>
      </c>
      <c r="AB99" s="10" t="str">
        <f>"5oad"</f>
        <v>5oad</v>
      </c>
      <c r="AD99" s="10" t="str">
        <f>"oad01"</f>
        <v>oad01</v>
      </c>
      <c r="AE99" s="10" t="str">
        <f t="shared" si="77"/>
        <v>Transformation / Human Resources</v>
      </c>
      <c r="AG99" s="10" t="str">
        <f>"27010/1136"</f>
        <v>27010/1136</v>
      </c>
      <c r="AI99" s="10" t="str">
        <f t="shared" si="78"/>
        <v>11emps</v>
      </c>
      <c r="AJ99" s="15" t="str">
        <f>"malcolm jarvis "</f>
        <v xml:space="preserve">malcolm jarvis </v>
      </c>
      <c r="AK99" s="10" t="str">
        <f t="shared" si="57"/>
        <v>Revenue</v>
      </c>
      <c r="AL99" s="10" t="str">
        <f>""</f>
        <v/>
      </c>
      <c r="AM99" s="10" t="str">
        <f>""</f>
        <v/>
      </c>
      <c r="AN99" s="10" t="str">
        <f>""</f>
        <v/>
      </c>
      <c r="AO99" s="10" t="str">
        <f>""</f>
        <v/>
      </c>
    </row>
    <row r="100" spans="1:41" s="10" customFormat="1" ht="409.6">
      <c r="A100" s="9"/>
      <c r="B100" s="9"/>
      <c r="C100" s="9"/>
      <c r="D100" s="10" t="str">
        <f>"30087"</f>
        <v>30087</v>
      </c>
      <c r="E100" s="11" t="str">
        <f>""</f>
        <v/>
      </c>
      <c r="F100" s="11" t="str">
        <f t="shared" si="48"/>
        <v>372418</v>
      </c>
      <c r="G100" s="11" t="str">
        <f t="shared" si="49"/>
        <v>2017toJAN</v>
      </c>
      <c r="H100" s="11" t="str">
        <f t="shared" si="50"/>
        <v>CRSP06B</v>
      </c>
      <c r="I100" s="11" t="str">
        <f t="shared" si="51"/>
        <v>34</v>
      </c>
      <c r="J100" s="11" t="str">
        <f t="shared" si="52"/>
        <v>Creditor</v>
      </c>
      <c r="K100" s="11" t="str">
        <f t="shared" si="69"/>
        <v>CS001379</v>
      </c>
      <c r="L100" s="10" t="str">
        <f t="shared" si="70"/>
        <v>Champion Employment</v>
      </c>
      <c r="M100" s="12" t="str">
        <f t="shared" si="71"/>
        <v>18/01/2017 00:00:00</v>
      </c>
      <c r="N100" s="12">
        <v>42753</v>
      </c>
      <c r="O100" s="10" t="str">
        <f t="shared" si="72"/>
        <v>C007687</v>
      </c>
      <c r="P100" s="13">
        <v>4384.95</v>
      </c>
      <c r="Q100" s="11" t="str">
        <f>"4384.9500"</f>
        <v>4384.9500</v>
      </c>
      <c r="R100" s="10" t="str">
        <f t="shared" si="73"/>
        <v>C0004478</v>
      </c>
      <c r="S100" s="14" t="str">
        <f t="shared" si="74"/>
        <v>35601.1300</v>
      </c>
      <c r="T100" s="10">
        <v>29510</v>
      </c>
      <c r="U100" s="10">
        <v>1136</v>
      </c>
      <c r="V100" s="10" t="str">
        <f t="shared" si="75"/>
        <v>Direct employee exps and bens</v>
      </c>
      <c r="W100" s="10" t="str">
        <f t="shared" si="76"/>
        <v>Employees</v>
      </c>
      <c r="X100" s="10" t="str">
        <f>VLOOKUP(U100,'[1]Account code lookup'!A:B,2,0)</f>
        <v>Agency Staff</v>
      </c>
      <c r="Z100" s="10" t="str">
        <f>"Regeneration and Housing"</f>
        <v>Regeneration and Housing</v>
      </c>
      <c r="AA100" s="10" t="str">
        <f>"Commercial Development"</f>
        <v>Commercial Development</v>
      </c>
      <c r="AB100" s="10" t="str">
        <f>"2cdb"</f>
        <v>2cdb</v>
      </c>
      <c r="AD100" s="10" t="str">
        <f>"cdb02"</f>
        <v>cdb02</v>
      </c>
      <c r="AE100" s="10" t="str">
        <f t="shared" si="77"/>
        <v>Transformation / Human Resources</v>
      </c>
      <c r="AG100" s="10" t="str">
        <f>"29510/1136"</f>
        <v>29510/1136</v>
      </c>
      <c r="AI100" s="10" t="str">
        <f t="shared" si="78"/>
        <v>11emps</v>
      </c>
      <c r="AJ100" s="15" t="str">
        <f>"martin paynton "</f>
        <v xml:space="preserve">martin paynton </v>
      </c>
      <c r="AK100" s="10" t="str">
        <f t="shared" si="57"/>
        <v>Revenue</v>
      </c>
      <c r="AL100" s="10" t="str">
        <f>""</f>
        <v/>
      </c>
      <c r="AM100" s="10" t="str">
        <f>""</f>
        <v/>
      </c>
      <c r="AN100" s="10" t="str">
        <f>""</f>
        <v/>
      </c>
      <c r="AO100" s="10" t="str">
        <f>""</f>
        <v/>
      </c>
    </row>
    <row r="101" spans="1:41" s="10" customFormat="1" ht="409.6">
      <c r="A101" s="9"/>
      <c r="B101" s="9"/>
      <c r="C101" s="9"/>
      <c r="D101" s="10" t="str">
        <f>"30217"</f>
        <v>30217</v>
      </c>
      <c r="E101" s="11" t="str">
        <f>""</f>
        <v/>
      </c>
      <c r="F101" s="11" t="str">
        <f t="shared" si="48"/>
        <v>372418</v>
      </c>
      <c r="G101" s="11" t="str">
        <f t="shared" si="49"/>
        <v>2017toJAN</v>
      </c>
      <c r="H101" s="11" t="str">
        <f t="shared" si="50"/>
        <v>CRSP06B</v>
      </c>
      <c r="I101" s="11" t="str">
        <f t="shared" si="51"/>
        <v>34</v>
      </c>
      <c r="J101" s="11" t="str">
        <f t="shared" si="52"/>
        <v>Creditor</v>
      </c>
      <c r="K101" s="11" t="str">
        <f t="shared" ref="K101:K106" si="79">"CS002435"</f>
        <v>CS002435</v>
      </c>
      <c r="L101" s="10" t="str">
        <f t="shared" ref="L101:L106" si="80">"Cheney Disability Solutions Ltd"</f>
        <v>Cheney Disability Solutions Ltd</v>
      </c>
      <c r="M101" s="12" t="str">
        <f>"04/01/2017 00:00:00"</f>
        <v>04/01/2017 00:00:00</v>
      </c>
      <c r="N101" s="12">
        <v>42739</v>
      </c>
      <c r="O101" s="10" t="str">
        <f>"C007548"</f>
        <v>C007548</v>
      </c>
      <c r="P101" s="13">
        <v>5352</v>
      </c>
      <c r="Q101" s="11" t="str">
        <f>"5352.0000"</f>
        <v>5352.0000</v>
      </c>
      <c r="R101" s="10" t="str">
        <f>"C0004279"</f>
        <v>C0004279</v>
      </c>
      <c r="S101" s="14" t="str">
        <f>"6552.0000"</f>
        <v>6552.0000</v>
      </c>
      <c r="T101" s="10">
        <v>40083</v>
      </c>
      <c r="U101" s="10">
        <v>4100</v>
      </c>
      <c r="V101" s="10" t="str">
        <f t="shared" ref="V101:W106" si="81">"Capital Works"</f>
        <v>Capital Works</v>
      </c>
      <c r="W101" s="10" t="str">
        <f t="shared" si="81"/>
        <v>Capital Works</v>
      </c>
      <c r="X101" s="10" t="str">
        <f>VLOOKUP(U101,'[1]Account code lookup'!A:B,2,0)</f>
        <v>Contractors Capital Payments</v>
      </c>
      <c r="Z101" s="10" t="str">
        <f t="shared" ref="Z101:Z106" si="82">"Capital Regen and Housing"</f>
        <v>Capital Regen and Housing</v>
      </c>
      <c r="AA101" s="10" t="str">
        <f t="shared" ref="AA101:AA106" si="83">"Commercial Development Capital"</f>
        <v>Commercial Development Capital</v>
      </c>
      <c r="AB101" s="10" t="str">
        <f t="shared" ref="AB101:AB106" si="84">"c2cdb"</f>
        <v>c2cdb</v>
      </c>
      <c r="AD101" s="10" t="str">
        <f t="shared" ref="AD101:AD106" si="85">"ccdb02"</f>
        <v>ccdb02</v>
      </c>
      <c r="AE101" s="10" t="str">
        <f t="shared" ref="AE101:AE106" si="86">"Regeneration &amp; Housing / Home Improvement Agency"</f>
        <v>Regeneration &amp; Housing / Home Improvement Agency</v>
      </c>
      <c r="AG101" s="10" t="str">
        <f>"40083/4100"</f>
        <v>40083/4100</v>
      </c>
      <c r="AI101" s="10" t="str">
        <f t="shared" ref="AI101:AI106" si="87">"41cwrk"</f>
        <v>41cwrk</v>
      </c>
      <c r="AJ101" s="15" t="str">
        <f>""</f>
        <v/>
      </c>
      <c r="AK101" s="10" t="str">
        <f t="shared" ref="AK101:AK106" si="88">"Capital"</f>
        <v>Capital</v>
      </c>
      <c r="AL101" s="10" t="str">
        <f>""</f>
        <v/>
      </c>
      <c r="AM101" s="10" t="str">
        <f>""</f>
        <v/>
      </c>
      <c r="AN101" s="10" t="str">
        <f>""</f>
        <v/>
      </c>
      <c r="AO101" s="10" t="str">
        <f>""</f>
        <v/>
      </c>
    </row>
    <row r="102" spans="1:41" s="10" customFormat="1" ht="409.6">
      <c r="A102" s="9"/>
      <c r="B102" s="9"/>
      <c r="C102" s="9"/>
      <c r="D102" s="10" t="str">
        <f>"30218"</f>
        <v>30218</v>
      </c>
      <c r="E102" s="11" t="str">
        <f>""</f>
        <v/>
      </c>
      <c r="F102" s="11" t="str">
        <f t="shared" si="48"/>
        <v>372418</v>
      </c>
      <c r="G102" s="11" t="str">
        <f t="shared" si="49"/>
        <v>2017toJAN</v>
      </c>
      <c r="H102" s="11" t="str">
        <f t="shared" si="50"/>
        <v>CRSP06B</v>
      </c>
      <c r="I102" s="11" t="str">
        <f t="shared" si="51"/>
        <v>34</v>
      </c>
      <c r="J102" s="11" t="str">
        <f t="shared" si="52"/>
        <v>Creditor</v>
      </c>
      <c r="K102" s="11" t="str">
        <f t="shared" si="79"/>
        <v>CS002435</v>
      </c>
      <c r="L102" s="10" t="str">
        <f t="shared" si="80"/>
        <v>Cheney Disability Solutions Ltd</v>
      </c>
      <c r="M102" s="12" t="str">
        <f>"04/01/2017 00:00:00"</f>
        <v>04/01/2017 00:00:00</v>
      </c>
      <c r="N102" s="12">
        <v>42739</v>
      </c>
      <c r="O102" s="10" t="str">
        <f>"C007548"</f>
        <v>C007548</v>
      </c>
      <c r="P102" s="13">
        <v>1500</v>
      </c>
      <c r="Q102" s="11" t="str">
        <f>"1500.0000"</f>
        <v>1500.0000</v>
      </c>
      <c r="R102" s="10" t="str">
        <f>"C0004279"</f>
        <v>C0004279</v>
      </c>
      <c r="S102" s="14" t="str">
        <f>"6552.0000"</f>
        <v>6552.0000</v>
      </c>
      <c r="T102" s="10">
        <v>40083</v>
      </c>
      <c r="U102" s="10">
        <v>4100</v>
      </c>
      <c r="V102" s="10" t="str">
        <f t="shared" si="81"/>
        <v>Capital Works</v>
      </c>
      <c r="W102" s="10" t="str">
        <f t="shared" si="81"/>
        <v>Capital Works</v>
      </c>
      <c r="X102" s="10" t="str">
        <f>VLOOKUP(U102,'[1]Account code lookup'!A:B,2,0)</f>
        <v>Contractors Capital Payments</v>
      </c>
      <c r="Z102" s="10" t="str">
        <f t="shared" si="82"/>
        <v>Capital Regen and Housing</v>
      </c>
      <c r="AA102" s="10" t="str">
        <f t="shared" si="83"/>
        <v>Commercial Development Capital</v>
      </c>
      <c r="AB102" s="10" t="str">
        <f t="shared" si="84"/>
        <v>c2cdb</v>
      </c>
      <c r="AD102" s="10" t="str">
        <f t="shared" si="85"/>
        <v>ccdb02</v>
      </c>
      <c r="AE102" s="10" t="str">
        <f t="shared" si="86"/>
        <v>Regeneration &amp; Housing / Home Improvement Agency</v>
      </c>
      <c r="AG102" s="10" t="str">
        <f>"40083/4100"</f>
        <v>40083/4100</v>
      </c>
      <c r="AI102" s="10" t="str">
        <f t="shared" si="87"/>
        <v>41cwrk</v>
      </c>
      <c r="AJ102" s="15" t="str">
        <f>"22 Round Close Rd, Adderbury"</f>
        <v>22 Round Close Rd, Adderbury</v>
      </c>
      <c r="AK102" s="10" t="str">
        <f t="shared" si="88"/>
        <v>Capital</v>
      </c>
      <c r="AL102" s="10" t="str">
        <f>""</f>
        <v/>
      </c>
      <c r="AM102" s="10" t="str">
        <f>""</f>
        <v/>
      </c>
      <c r="AN102" s="10" t="str">
        <f>""</f>
        <v/>
      </c>
      <c r="AO102" s="10" t="str">
        <f>""</f>
        <v/>
      </c>
    </row>
    <row r="103" spans="1:41" s="10" customFormat="1" ht="409.6">
      <c r="A103" s="9"/>
      <c r="B103" s="9"/>
      <c r="C103" s="9"/>
      <c r="D103" s="10" t="str">
        <f>"30258"</f>
        <v>30258</v>
      </c>
      <c r="E103" s="11" t="str">
        <f>""</f>
        <v/>
      </c>
      <c r="F103" s="11" t="str">
        <f t="shared" si="48"/>
        <v>372418</v>
      </c>
      <c r="G103" s="11" t="str">
        <f t="shared" si="49"/>
        <v>2017toJAN</v>
      </c>
      <c r="H103" s="11" t="str">
        <f t="shared" si="50"/>
        <v>CRSP06B</v>
      </c>
      <c r="I103" s="11" t="str">
        <f t="shared" si="51"/>
        <v>34</v>
      </c>
      <c r="J103" s="11" t="str">
        <f t="shared" si="52"/>
        <v>Creditor</v>
      </c>
      <c r="K103" s="11" t="str">
        <f t="shared" si="79"/>
        <v>CS002435</v>
      </c>
      <c r="L103" s="10" t="str">
        <f t="shared" si="80"/>
        <v>Cheney Disability Solutions Ltd</v>
      </c>
      <c r="M103" s="12" t="str">
        <f>"23/01/2017 00:00:00"</f>
        <v>23/01/2017 00:00:00</v>
      </c>
      <c r="N103" s="12">
        <v>42758</v>
      </c>
      <c r="O103" s="10" t="str">
        <f>"C007951"</f>
        <v>C007951</v>
      </c>
      <c r="P103" s="13">
        <v>9033.7999999999993</v>
      </c>
      <c r="Q103" s="11" t="str">
        <f>"9033.8000"</f>
        <v>9033.8000</v>
      </c>
      <c r="R103" s="10" t="str">
        <f>"C0004545"</f>
        <v>C0004545</v>
      </c>
      <c r="S103" s="14" t="str">
        <f>"11833.8000"</f>
        <v>11833.8000</v>
      </c>
      <c r="T103" s="10">
        <v>40083</v>
      </c>
      <c r="U103" s="10">
        <v>4100</v>
      </c>
      <c r="V103" s="10" t="str">
        <f t="shared" si="81"/>
        <v>Capital Works</v>
      </c>
      <c r="W103" s="10" t="str">
        <f t="shared" si="81"/>
        <v>Capital Works</v>
      </c>
      <c r="X103" s="10" t="str">
        <f>VLOOKUP(U103,'[1]Account code lookup'!A:B,2,0)</f>
        <v>Contractors Capital Payments</v>
      </c>
      <c r="Z103" s="10" t="str">
        <f t="shared" si="82"/>
        <v>Capital Regen and Housing</v>
      </c>
      <c r="AA103" s="10" t="str">
        <f t="shared" si="83"/>
        <v>Commercial Development Capital</v>
      </c>
      <c r="AB103" s="10" t="str">
        <f t="shared" si="84"/>
        <v>c2cdb</v>
      </c>
      <c r="AD103" s="10" t="str">
        <f t="shared" si="85"/>
        <v>ccdb02</v>
      </c>
      <c r="AE103" s="10" t="str">
        <f t="shared" si="86"/>
        <v>Regeneration &amp; Housing / Home Improvement Agency</v>
      </c>
      <c r="AG103" s="10" t="str">
        <f>"40083/4100"</f>
        <v>40083/4100</v>
      </c>
      <c r="AI103" s="10" t="str">
        <f t="shared" si="87"/>
        <v>41cwrk</v>
      </c>
      <c r="AJ103" s="15" t="str">
        <f>""</f>
        <v/>
      </c>
      <c r="AK103" s="10" t="str">
        <f t="shared" si="88"/>
        <v>Capital</v>
      </c>
      <c r="AL103" s="10" t="str">
        <f>""</f>
        <v/>
      </c>
      <c r="AM103" s="10" t="str">
        <f>""</f>
        <v/>
      </c>
      <c r="AN103" s="10" t="str">
        <f>""</f>
        <v/>
      </c>
      <c r="AO103" s="10" t="str">
        <f>""</f>
        <v/>
      </c>
    </row>
    <row r="104" spans="1:41" s="10" customFormat="1" ht="409.6">
      <c r="A104" s="9"/>
      <c r="B104" s="9"/>
      <c r="C104" s="9"/>
      <c r="D104" s="10" t="str">
        <f>"30311"</f>
        <v>30311</v>
      </c>
      <c r="E104" s="11" t="str">
        <f>""</f>
        <v/>
      </c>
      <c r="F104" s="11" t="str">
        <f t="shared" si="48"/>
        <v>372418</v>
      </c>
      <c r="G104" s="11" t="str">
        <f t="shared" si="49"/>
        <v>2017toJAN</v>
      </c>
      <c r="H104" s="11" t="str">
        <f t="shared" si="50"/>
        <v>CRSP06B</v>
      </c>
      <c r="I104" s="11" t="str">
        <f t="shared" si="51"/>
        <v>34</v>
      </c>
      <c r="J104" s="11" t="str">
        <f t="shared" si="52"/>
        <v>Creditor</v>
      </c>
      <c r="K104" s="11" t="str">
        <f t="shared" si="79"/>
        <v>CS002435</v>
      </c>
      <c r="L104" s="10" t="str">
        <f t="shared" si="80"/>
        <v>Cheney Disability Solutions Ltd</v>
      </c>
      <c r="M104" s="12" t="str">
        <f>"23/01/2017 00:00:00"</f>
        <v>23/01/2017 00:00:00</v>
      </c>
      <c r="N104" s="12">
        <v>42758</v>
      </c>
      <c r="O104" s="10" t="str">
        <f>"C007951"</f>
        <v>C007951</v>
      </c>
      <c r="P104" s="13">
        <v>3500</v>
      </c>
      <c r="Q104" s="11" t="str">
        <f>"3500.0000"</f>
        <v>3500.0000</v>
      </c>
      <c r="R104" s="10" t="str">
        <f>"C0004545"</f>
        <v>C0004545</v>
      </c>
      <c r="S104" s="14" t="str">
        <f>"11833.8000"</f>
        <v>11833.8000</v>
      </c>
      <c r="T104" s="10">
        <v>40083</v>
      </c>
      <c r="U104" s="10">
        <v>4100</v>
      </c>
      <c r="V104" s="10" t="str">
        <f t="shared" si="81"/>
        <v>Capital Works</v>
      </c>
      <c r="W104" s="10" t="str">
        <f t="shared" si="81"/>
        <v>Capital Works</v>
      </c>
      <c r="X104" s="10" t="str">
        <f>VLOOKUP(U104,'[1]Account code lookup'!A:B,2,0)</f>
        <v>Contractors Capital Payments</v>
      </c>
      <c r="Z104" s="10" t="str">
        <f t="shared" si="82"/>
        <v>Capital Regen and Housing</v>
      </c>
      <c r="AA104" s="10" t="str">
        <f t="shared" si="83"/>
        <v>Commercial Development Capital</v>
      </c>
      <c r="AB104" s="10" t="str">
        <f t="shared" si="84"/>
        <v>c2cdb</v>
      </c>
      <c r="AD104" s="10" t="str">
        <f t="shared" si="85"/>
        <v>ccdb02</v>
      </c>
      <c r="AE104" s="10" t="str">
        <f t="shared" si="86"/>
        <v>Regeneration &amp; Housing / Home Improvement Agency</v>
      </c>
      <c r="AG104" s="10" t="str">
        <f>"40083/4100"</f>
        <v>40083/4100</v>
      </c>
      <c r="AI104" s="10" t="str">
        <f t="shared" si="87"/>
        <v>41cwrk</v>
      </c>
      <c r="AJ104" s="15" t="str">
        <f>"1 Queensway"</f>
        <v>1 Queensway</v>
      </c>
      <c r="AK104" s="10" t="str">
        <f t="shared" si="88"/>
        <v>Capital</v>
      </c>
      <c r="AL104" s="10" t="str">
        <f>""</f>
        <v/>
      </c>
      <c r="AM104" s="10" t="str">
        <f>""</f>
        <v/>
      </c>
      <c r="AN104" s="10" t="str">
        <f>""</f>
        <v/>
      </c>
      <c r="AO104" s="10" t="str">
        <f>""</f>
        <v/>
      </c>
    </row>
    <row r="105" spans="1:41" s="10" customFormat="1" ht="409.6">
      <c r="A105" s="9"/>
      <c r="B105" s="9"/>
      <c r="C105" s="9"/>
      <c r="D105" s="10" t="str">
        <f>"30312"</f>
        <v>30312</v>
      </c>
      <c r="E105" s="11" t="str">
        <f>""</f>
        <v/>
      </c>
      <c r="F105" s="11" t="str">
        <f t="shared" si="48"/>
        <v>372418</v>
      </c>
      <c r="G105" s="11" t="str">
        <f t="shared" si="49"/>
        <v>2017toJAN</v>
      </c>
      <c r="H105" s="11" t="str">
        <f t="shared" si="50"/>
        <v>CRSP06B</v>
      </c>
      <c r="I105" s="11" t="str">
        <f t="shared" si="51"/>
        <v>34</v>
      </c>
      <c r="J105" s="11" t="str">
        <f t="shared" si="52"/>
        <v>Creditor</v>
      </c>
      <c r="K105" s="11" t="str">
        <f t="shared" si="79"/>
        <v>CS002435</v>
      </c>
      <c r="L105" s="10" t="str">
        <f t="shared" si="80"/>
        <v>Cheney Disability Solutions Ltd</v>
      </c>
      <c r="M105" s="12" t="str">
        <f>"25/01/2017 00:00:00"</f>
        <v>25/01/2017 00:00:00</v>
      </c>
      <c r="N105" s="12">
        <v>42760</v>
      </c>
      <c r="O105" s="10" t="str">
        <f>"C008078"</f>
        <v>C008078</v>
      </c>
      <c r="P105" s="13">
        <v>800</v>
      </c>
      <c r="Q105" s="11" t="str">
        <f>"800.0000"</f>
        <v>800.0000</v>
      </c>
      <c r="R105" s="10" t="str">
        <f>"C0004569"</f>
        <v>C0004569</v>
      </c>
      <c r="S105" s="14" t="str">
        <f>"1760.0000"</f>
        <v>1760.0000</v>
      </c>
      <c r="T105" s="10">
        <v>40084</v>
      </c>
      <c r="U105" s="10">
        <v>4100</v>
      </c>
      <c r="V105" s="10" t="str">
        <f t="shared" si="81"/>
        <v>Capital Works</v>
      </c>
      <c r="W105" s="10" t="str">
        <f t="shared" si="81"/>
        <v>Capital Works</v>
      </c>
      <c r="X105" s="10" t="str">
        <f>VLOOKUP(U105,'[1]Account code lookup'!A:B,2,0)</f>
        <v>Contractors Capital Payments</v>
      </c>
      <c r="Z105" s="10" t="str">
        <f t="shared" si="82"/>
        <v>Capital Regen and Housing</v>
      </c>
      <c r="AA105" s="10" t="str">
        <f t="shared" si="83"/>
        <v>Commercial Development Capital</v>
      </c>
      <c r="AB105" s="10" t="str">
        <f t="shared" si="84"/>
        <v>c2cdb</v>
      </c>
      <c r="AD105" s="10" t="str">
        <f t="shared" si="85"/>
        <v>ccdb02</v>
      </c>
      <c r="AE105" s="10" t="str">
        <f t="shared" si="86"/>
        <v>Regeneration &amp; Housing / Home Improvement Agency</v>
      </c>
      <c r="AG105" s="10" t="str">
        <f>"40084/4100"</f>
        <v>40084/4100</v>
      </c>
      <c r="AI105" s="10" t="str">
        <f t="shared" si="87"/>
        <v>41cwrk</v>
      </c>
      <c r="AJ105" s="15" t="str">
        <f>""</f>
        <v/>
      </c>
      <c r="AK105" s="10" t="str">
        <f t="shared" si="88"/>
        <v>Capital</v>
      </c>
      <c r="AL105" s="10" t="str">
        <f>""</f>
        <v/>
      </c>
      <c r="AM105" s="10" t="str">
        <f>""</f>
        <v/>
      </c>
      <c r="AN105" s="10" t="str">
        <f>""</f>
        <v/>
      </c>
      <c r="AO105" s="10" t="str">
        <f>""</f>
        <v/>
      </c>
    </row>
    <row r="106" spans="1:41" s="10" customFormat="1" ht="409.6">
      <c r="A106" s="9"/>
      <c r="B106" s="9"/>
      <c r="C106" s="9"/>
      <c r="D106" s="10" t="str">
        <f>"30587"</f>
        <v>30587</v>
      </c>
      <c r="E106" s="11" t="str">
        <f>""</f>
        <v/>
      </c>
      <c r="F106" s="11" t="str">
        <f t="shared" si="48"/>
        <v>372418</v>
      </c>
      <c r="G106" s="11" t="str">
        <f t="shared" si="49"/>
        <v>2017toJAN</v>
      </c>
      <c r="H106" s="11" t="str">
        <f t="shared" si="50"/>
        <v>CRSP06B</v>
      </c>
      <c r="I106" s="11" t="str">
        <f t="shared" si="51"/>
        <v>34</v>
      </c>
      <c r="J106" s="11" t="str">
        <f t="shared" si="52"/>
        <v>Creditor</v>
      </c>
      <c r="K106" s="11" t="str">
        <f t="shared" si="79"/>
        <v>CS002435</v>
      </c>
      <c r="L106" s="10" t="str">
        <f t="shared" si="80"/>
        <v>Cheney Disability Solutions Ltd</v>
      </c>
      <c r="M106" s="12" t="str">
        <f>"25/01/2017 00:00:00"</f>
        <v>25/01/2017 00:00:00</v>
      </c>
      <c r="N106" s="12">
        <v>42760</v>
      </c>
      <c r="O106" s="10" t="str">
        <f>"C008078"</f>
        <v>C008078</v>
      </c>
      <c r="P106" s="13">
        <v>1200</v>
      </c>
      <c r="Q106" s="11" t="str">
        <f>"1200.0000"</f>
        <v>1200.0000</v>
      </c>
      <c r="R106" s="10" t="str">
        <f>"C0004569"</f>
        <v>C0004569</v>
      </c>
      <c r="S106" s="14" t="str">
        <f>"1760.0000"</f>
        <v>1760.0000</v>
      </c>
      <c r="T106" s="10">
        <v>40084</v>
      </c>
      <c r="U106" s="10">
        <v>4100</v>
      </c>
      <c r="V106" s="10" t="str">
        <f t="shared" si="81"/>
        <v>Capital Works</v>
      </c>
      <c r="W106" s="10" t="str">
        <f t="shared" si="81"/>
        <v>Capital Works</v>
      </c>
      <c r="X106" s="10" t="str">
        <f>VLOOKUP(U106,'[1]Account code lookup'!A:B,2,0)</f>
        <v>Contractors Capital Payments</v>
      </c>
      <c r="Z106" s="10" t="str">
        <f t="shared" si="82"/>
        <v>Capital Regen and Housing</v>
      </c>
      <c r="AA106" s="10" t="str">
        <f t="shared" si="83"/>
        <v>Commercial Development Capital</v>
      </c>
      <c r="AB106" s="10" t="str">
        <f t="shared" si="84"/>
        <v>c2cdb</v>
      </c>
      <c r="AD106" s="10" t="str">
        <f t="shared" si="85"/>
        <v>ccdb02</v>
      </c>
      <c r="AE106" s="10" t="str">
        <f t="shared" si="86"/>
        <v>Regeneration &amp; Housing / Home Improvement Agency</v>
      </c>
      <c r="AG106" s="10" t="str">
        <f>"40084/4100"</f>
        <v>40084/4100</v>
      </c>
      <c r="AI106" s="10" t="str">
        <f t="shared" si="87"/>
        <v>41cwrk</v>
      </c>
      <c r="AJ106" s="15" t="str">
        <f>"10 St Michaels Close, Frinford"</f>
        <v>10 St Michaels Close, Frinford</v>
      </c>
      <c r="AK106" s="10" t="str">
        <f t="shared" si="88"/>
        <v>Capital</v>
      </c>
      <c r="AL106" s="10" t="str">
        <f>""</f>
        <v/>
      </c>
      <c r="AM106" s="10" t="str">
        <f>""</f>
        <v/>
      </c>
      <c r="AN106" s="10" t="str">
        <f>""</f>
        <v/>
      </c>
      <c r="AO106" s="10" t="str">
        <f>""</f>
        <v/>
      </c>
    </row>
    <row r="107" spans="1:41" s="10" customFormat="1" ht="409.6">
      <c r="A107" s="9"/>
      <c r="B107" s="9"/>
      <c r="C107" s="9"/>
      <c r="D107" s="10" t="str">
        <f>"30625"</f>
        <v>30625</v>
      </c>
      <c r="E107" s="11" t="str">
        <f>""</f>
        <v/>
      </c>
      <c r="F107" s="11" t="str">
        <f t="shared" si="48"/>
        <v>372418</v>
      </c>
      <c r="G107" s="11" t="str">
        <f t="shared" si="49"/>
        <v>2017toJAN</v>
      </c>
      <c r="H107" s="11" t="str">
        <f t="shared" si="50"/>
        <v>CRSP06B</v>
      </c>
      <c r="I107" s="11" t="str">
        <f t="shared" si="51"/>
        <v>34</v>
      </c>
      <c r="J107" s="11" t="str">
        <f t="shared" si="52"/>
        <v>Creditor</v>
      </c>
      <c r="K107" s="11" t="str">
        <f>"CS001079"</f>
        <v>CS001079</v>
      </c>
      <c r="L107" s="10" t="str">
        <f>"Cherwell Packaging Ltd"</f>
        <v>Cherwell Packaging Ltd</v>
      </c>
      <c r="M107" s="12" t="str">
        <f>"23/01/2017 00:00:00"</f>
        <v>23/01/2017 00:00:00</v>
      </c>
      <c r="N107" s="12">
        <v>42758</v>
      </c>
      <c r="O107" s="10" t="str">
        <f>"C007743"</f>
        <v>C007743</v>
      </c>
      <c r="P107" s="13">
        <v>188.6</v>
      </c>
      <c r="Q107" s="11" t="str">
        <f>"188.6000"</f>
        <v>188.6000</v>
      </c>
      <c r="R107" s="10" t="str">
        <f>"C0004528"</f>
        <v>C0004528</v>
      </c>
      <c r="S107" s="14" t="str">
        <f>"817.7000"</f>
        <v>817.7000</v>
      </c>
      <c r="T107" s="10">
        <v>21717</v>
      </c>
      <c r="U107" s="10">
        <v>1270</v>
      </c>
      <c r="V107" s="10" t="str">
        <f>"Cleaning &amp; domestic supplies"</f>
        <v>Cleaning &amp; domestic supplies</v>
      </c>
      <c r="W107" s="10" t="str">
        <f>"Premises Related Expenditure"</f>
        <v>Premises Related Expenditure</v>
      </c>
      <c r="X107" s="10" t="str">
        <f>VLOOKUP(U107,'[1]Account code lookup'!A:B,2,0)</f>
        <v>Cleaning Materials Direct Purchase</v>
      </c>
      <c r="Z107" s="10" t="str">
        <f>"Regeneration and Housing"</f>
        <v>Regeneration and Housing</v>
      </c>
      <c r="AA107" s="10" t="str">
        <f>"Commercial Development"</f>
        <v>Commercial Development</v>
      </c>
      <c r="AB107" s="10" t="str">
        <f>"2cdb"</f>
        <v>2cdb</v>
      </c>
      <c r="AD107" s="10" t="str">
        <f>"cdb02"</f>
        <v>cdb02</v>
      </c>
      <c r="AE107" s="10" t="str">
        <f t="shared" ref="AE107:AE129" si="89">"Finance &amp; Procurement / Finance"</f>
        <v>Finance &amp; Procurement / Finance</v>
      </c>
      <c r="AG107" s="10" t="str">
        <f>"21717/1270"</f>
        <v>21717/1270</v>
      </c>
      <c r="AI107" s="10" t="str">
        <f>"12prem"</f>
        <v>12prem</v>
      </c>
      <c r="AJ107" s="15" t="str">
        <f>""</f>
        <v/>
      </c>
      <c r="AK107" s="10" t="str">
        <f t="shared" ref="AK107:AK135" si="90">"Revenue"</f>
        <v>Revenue</v>
      </c>
      <c r="AL107" s="10" t="str">
        <f>""</f>
        <v/>
      </c>
      <c r="AM107" s="10" t="str">
        <f>""</f>
        <v/>
      </c>
      <c r="AN107" s="10" t="str">
        <f>""</f>
        <v/>
      </c>
      <c r="AO107" s="10" t="str">
        <f>""</f>
        <v/>
      </c>
    </row>
    <row r="108" spans="1:41" s="10" customFormat="1" ht="409.6">
      <c r="A108" s="9"/>
      <c r="B108" s="9"/>
      <c r="C108" s="9"/>
      <c r="D108" s="10" t="str">
        <f>"30939"</f>
        <v>30939</v>
      </c>
      <c r="E108" s="11" t="str">
        <f>""</f>
        <v/>
      </c>
      <c r="F108" s="11" t="str">
        <f t="shared" si="48"/>
        <v>372418</v>
      </c>
      <c r="G108" s="11" t="str">
        <f t="shared" si="49"/>
        <v>2017toJAN</v>
      </c>
      <c r="H108" s="11" t="str">
        <f t="shared" si="50"/>
        <v>CRSP06B</v>
      </c>
      <c r="I108" s="11" t="str">
        <f t="shared" si="51"/>
        <v>34</v>
      </c>
      <c r="J108" s="11" t="str">
        <f t="shared" si="52"/>
        <v>Creditor</v>
      </c>
      <c r="K108" s="11" t="str">
        <f>"CS001079"</f>
        <v>CS001079</v>
      </c>
      <c r="L108" s="10" t="str">
        <f>"Cherwell Packaging Ltd"</f>
        <v>Cherwell Packaging Ltd</v>
      </c>
      <c r="M108" s="12" t="str">
        <f>"23/01/2017 00:00:00"</f>
        <v>23/01/2017 00:00:00</v>
      </c>
      <c r="N108" s="12">
        <v>42758</v>
      </c>
      <c r="O108" s="10" t="str">
        <f>"C007293"</f>
        <v>C007293</v>
      </c>
      <c r="P108" s="13">
        <v>477.52</v>
      </c>
      <c r="Q108" s="11" t="str">
        <f>"477.5200"</f>
        <v>477.5200</v>
      </c>
      <c r="R108" s="10" t="str">
        <f>"C0004528"</f>
        <v>C0004528</v>
      </c>
      <c r="S108" s="14" t="str">
        <f>"817.7000"</f>
        <v>817.7000</v>
      </c>
      <c r="T108" s="10">
        <v>21717</v>
      </c>
      <c r="U108" s="10">
        <v>1270</v>
      </c>
      <c r="V108" s="10" t="str">
        <f>"Cleaning &amp; domestic supplies"</f>
        <v>Cleaning &amp; domestic supplies</v>
      </c>
      <c r="W108" s="10" t="str">
        <f>"Premises Related Expenditure"</f>
        <v>Premises Related Expenditure</v>
      </c>
      <c r="X108" s="10" t="str">
        <f>VLOOKUP(U108,'[1]Account code lookup'!A:B,2,0)</f>
        <v>Cleaning Materials Direct Purchase</v>
      </c>
      <c r="Z108" s="10" t="str">
        <f>"Regeneration and Housing"</f>
        <v>Regeneration and Housing</v>
      </c>
      <c r="AA108" s="10" t="str">
        <f>"Commercial Development"</f>
        <v>Commercial Development</v>
      </c>
      <c r="AB108" s="10" t="str">
        <f>"2cdb"</f>
        <v>2cdb</v>
      </c>
      <c r="AD108" s="10" t="str">
        <f>"cdb02"</f>
        <v>cdb02</v>
      </c>
      <c r="AE108" s="10" t="str">
        <f t="shared" si="89"/>
        <v>Finance &amp; Procurement / Finance</v>
      </c>
      <c r="AG108" s="10" t="str">
        <f>"21717/1270"</f>
        <v>21717/1270</v>
      </c>
      <c r="AI108" s="10" t="str">
        <f>"12prem"</f>
        <v>12prem</v>
      </c>
      <c r="AJ108" s="15" t="str">
        <f>"BODICOTE HOUSECleaning materialsSTOCK CODE	STOCK	QTY	PRICE	AMOUNT	VALUE	account no 1010397511606	Lifeguard Toilet Duck Fresh 12X 750Ml	case	19.93	1	19.93	81270584	Professional Flash Lemon 2 X 5 L	case	18.74	1	18.74	NW1291	Bactericidal Hand S"</f>
        <v>BODICOTE HOUSECleaning materialsSTOCK CODE	STOCK	QTY	PRICE	AMOUNT	VALUE	account no 1010397511606	Lifeguard Toilet Duck Fresh 12X 750Ml	case	19.93	1	19.93	81270584	Professional Flash Lemon 2 X 5 L	case	18.74	1	18.74	NW1291	Bactericidal Hand S</v>
      </c>
      <c r="AK108" s="10" t="str">
        <f t="shared" si="90"/>
        <v>Revenue</v>
      </c>
      <c r="AL108" s="10" t="str">
        <f>""</f>
        <v/>
      </c>
      <c r="AM108" s="10" t="str">
        <f>""</f>
        <v/>
      </c>
      <c r="AN108" s="10" t="str">
        <f>""</f>
        <v/>
      </c>
      <c r="AO108" s="10" t="str">
        <f>""</f>
        <v/>
      </c>
    </row>
    <row r="109" spans="1:41" s="10" customFormat="1" ht="409.6">
      <c r="A109" s="9"/>
      <c r="B109" s="9"/>
      <c r="C109" s="9"/>
      <c r="D109" s="10" t="str">
        <f>"31028"</f>
        <v>31028</v>
      </c>
      <c r="E109" s="11" t="str">
        <f>""</f>
        <v/>
      </c>
      <c r="F109" s="11" t="str">
        <f t="shared" si="48"/>
        <v>372418</v>
      </c>
      <c r="G109" s="11" t="str">
        <f t="shared" si="49"/>
        <v>2017toJAN</v>
      </c>
      <c r="H109" s="11" t="str">
        <f t="shared" si="50"/>
        <v>CRSP06B</v>
      </c>
      <c r="I109" s="11" t="str">
        <f t="shared" si="51"/>
        <v>34</v>
      </c>
      <c r="J109" s="11" t="str">
        <f t="shared" si="52"/>
        <v>Creditor</v>
      </c>
      <c r="K109" s="11" t="str">
        <f>"CS001079"</f>
        <v>CS001079</v>
      </c>
      <c r="L109" s="10" t="str">
        <f>"Cherwell Packaging Ltd"</f>
        <v>Cherwell Packaging Ltd</v>
      </c>
      <c r="M109" s="12" t="str">
        <f>"23/01/2017 00:00:00"</f>
        <v>23/01/2017 00:00:00</v>
      </c>
      <c r="N109" s="12">
        <v>42758</v>
      </c>
      <c r="O109" s="10" t="str">
        <f>"C007742"</f>
        <v>C007742</v>
      </c>
      <c r="P109" s="13">
        <v>15.3</v>
      </c>
      <c r="Q109" s="11" t="str">
        <f>"15.3000"</f>
        <v>15.3000</v>
      </c>
      <c r="R109" s="10" t="str">
        <f>"C0004528"</f>
        <v>C0004528</v>
      </c>
      <c r="S109" s="14" t="str">
        <f>"817.7000"</f>
        <v>817.7000</v>
      </c>
      <c r="T109" s="10">
        <v>21717</v>
      </c>
      <c r="U109" s="10">
        <v>1270</v>
      </c>
      <c r="V109" s="10" t="str">
        <f>"Cleaning &amp; domestic supplies"</f>
        <v>Cleaning &amp; domestic supplies</v>
      </c>
      <c r="W109" s="10" t="str">
        <f>"Premises Related Expenditure"</f>
        <v>Premises Related Expenditure</v>
      </c>
      <c r="X109" s="10" t="str">
        <f>VLOOKUP(U109,'[1]Account code lookup'!A:B,2,0)</f>
        <v>Cleaning Materials Direct Purchase</v>
      </c>
      <c r="Z109" s="10" t="str">
        <f>"Regeneration and Housing"</f>
        <v>Regeneration and Housing</v>
      </c>
      <c r="AA109" s="10" t="str">
        <f>"Commercial Development"</f>
        <v>Commercial Development</v>
      </c>
      <c r="AB109" s="10" t="str">
        <f>"2cdb"</f>
        <v>2cdb</v>
      </c>
      <c r="AD109" s="10" t="str">
        <f>"cdb02"</f>
        <v>cdb02</v>
      </c>
      <c r="AE109" s="10" t="str">
        <f t="shared" si="89"/>
        <v>Finance &amp; Procurement / Finance</v>
      </c>
      <c r="AG109" s="10" t="str">
        <f>"21717/1270"</f>
        <v>21717/1270</v>
      </c>
      <c r="AI109" s="10" t="str">
        <f>"12prem"</f>
        <v>12prem</v>
      </c>
      <c r="AJ109" s="15" t="str">
        <f>"BODICOTE HOUSENW1291	Bactericidal Hand Soap 6X450ml	       case	7.65	2	15.3ENG1L	Energie Foam Wash (6X1l) ( ENG1 )     case	40.15	2	80.336220	Katrin 1Ply Z Fold Blue Handtowel (5000) case	14.65	6	87.9NW1234	Toilet Rolls (36)	                    "</f>
        <v xml:space="preserve">BODICOTE HOUSENW1291	Bactericidal Hand Soap 6X450ml	       case	7.65	2	15.3ENG1L	Energie Foam Wash (6X1l) ( ENG1 )     case	40.15	2	80.336220	Katrin 1Ply Z Fold Blue Handtowel (5000) case	14.65	6	87.9NW1234	Toilet Rolls (36)	                    </v>
      </c>
      <c r="AK109" s="10" t="str">
        <f t="shared" si="90"/>
        <v>Revenue</v>
      </c>
      <c r="AL109" s="10" t="str">
        <f>""</f>
        <v/>
      </c>
      <c r="AM109" s="10" t="str">
        <f>""</f>
        <v/>
      </c>
      <c r="AN109" s="10" t="str">
        <f>""</f>
        <v/>
      </c>
      <c r="AO109" s="10" t="str">
        <f>""</f>
        <v/>
      </c>
    </row>
    <row r="110" spans="1:41" s="10" customFormat="1" ht="409.6">
      <c r="A110" s="9"/>
      <c r="B110" s="9"/>
      <c r="C110" s="9"/>
      <c r="D110" s="10" t="str">
        <f>"32010"</f>
        <v>32010</v>
      </c>
      <c r="E110" s="11" t="str">
        <f>""</f>
        <v/>
      </c>
      <c r="F110" s="11" t="str">
        <f t="shared" si="48"/>
        <v>372418</v>
      </c>
      <c r="G110" s="11" t="str">
        <f t="shared" si="49"/>
        <v>2017toJAN</v>
      </c>
      <c r="H110" s="11" t="str">
        <f t="shared" si="50"/>
        <v>CRSP06B</v>
      </c>
      <c r="I110" s="11" t="str">
        <f t="shared" si="51"/>
        <v>34</v>
      </c>
      <c r="J110" s="11" t="str">
        <f t="shared" si="52"/>
        <v>Creditor</v>
      </c>
      <c r="K110" s="11" t="str">
        <f t="shared" ref="K110:K126" si="91">"CS001252"</f>
        <v>CS001252</v>
      </c>
      <c r="L110" s="10" t="str">
        <f t="shared" ref="L110:L126" si="92">"Chiltern Railways Co Ltd"</f>
        <v>Chiltern Railways Co Ltd</v>
      </c>
      <c r="M110" s="12" t="str">
        <f t="shared" ref="M110:M127" si="93">"11/01/2017 00:00:00"</f>
        <v>11/01/2017 00:00:00</v>
      </c>
      <c r="N110" s="12">
        <v>42746</v>
      </c>
      <c r="O110" s="10" t="str">
        <f t="shared" ref="O110:O126" si="94">"C007407"</f>
        <v>C007407</v>
      </c>
      <c r="P110" s="13">
        <v>39.200000000000003</v>
      </c>
      <c r="Q110" s="11" t="str">
        <f>"39.2000"</f>
        <v>39.2000</v>
      </c>
      <c r="R110" s="10" t="str">
        <f t="shared" ref="R110:R126" si="95">"C0004363"</f>
        <v>C0004363</v>
      </c>
      <c r="S110" s="14" t="str">
        <f t="shared" ref="S110:S126" si="96">"1265.1000"</f>
        <v>1265.1000</v>
      </c>
      <c r="T110" s="10">
        <v>21300</v>
      </c>
      <c r="U110" s="10">
        <v>1330</v>
      </c>
      <c r="V110" s="10" t="str">
        <f t="shared" ref="V110:V126" si="97">"Public Transport"</f>
        <v>Public Transport</v>
      </c>
      <c r="W110" s="10" t="str">
        <f t="shared" ref="W110:W126" si="98">"Transport Related Expenditure"</f>
        <v>Transport Related Expenditure</v>
      </c>
      <c r="X110" s="10" t="str">
        <f>VLOOKUP(U110,'[1]Account code lookup'!A:B,2,0)</f>
        <v>Trains, planes &amp; buses</v>
      </c>
      <c r="Z110" s="10" t="str">
        <f>"Law and Governance"</f>
        <v>Law and Governance</v>
      </c>
      <c r="AA110" s="10" t="str">
        <f>"Strategy and Commissioning"</f>
        <v>Strategy and Commissioning</v>
      </c>
      <c r="AB110" s="10" t="str">
        <f>"4sac"</f>
        <v>4sac</v>
      </c>
      <c r="AD110" s="10" t="str">
        <f>"sac07"</f>
        <v>sac07</v>
      </c>
      <c r="AE110" s="10" t="str">
        <f t="shared" si="89"/>
        <v>Finance &amp; Procurement / Finance</v>
      </c>
      <c r="AG110" s="10" t="str">
        <f>"21300/1330"</f>
        <v>21300/1330</v>
      </c>
      <c r="AI110" s="10" t="str">
        <f t="shared" ref="AI110:AI126" si="99">"13trans"</f>
        <v>13trans</v>
      </c>
      <c r="AJ110" s="15" t="str">
        <f>"T Sithole"</f>
        <v>T Sithole</v>
      </c>
      <c r="AK110" s="10" t="str">
        <f t="shared" si="90"/>
        <v>Revenue</v>
      </c>
      <c r="AL110" s="10" t="str">
        <f>""</f>
        <v/>
      </c>
      <c r="AM110" s="10" t="str">
        <f>""</f>
        <v/>
      </c>
      <c r="AN110" s="10" t="str">
        <f>""</f>
        <v/>
      </c>
      <c r="AO110" s="10" t="str">
        <f>""</f>
        <v/>
      </c>
    </row>
    <row r="111" spans="1:41" s="10" customFormat="1" ht="409.6">
      <c r="A111" s="9"/>
      <c r="B111" s="9"/>
      <c r="C111" s="9"/>
      <c r="D111" s="10" t="str">
        <f>"32423"</f>
        <v>32423</v>
      </c>
      <c r="E111" s="11" t="str">
        <f>""</f>
        <v/>
      </c>
      <c r="F111" s="11" t="str">
        <f t="shared" si="48"/>
        <v>372418</v>
      </c>
      <c r="G111" s="11" t="str">
        <f t="shared" si="49"/>
        <v>2017toJAN</v>
      </c>
      <c r="H111" s="11" t="str">
        <f t="shared" si="50"/>
        <v>CRSP06B</v>
      </c>
      <c r="I111" s="11" t="str">
        <f t="shared" si="51"/>
        <v>34</v>
      </c>
      <c r="J111" s="11" t="str">
        <f t="shared" si="52"/>
        <v>Creditor</v>
      </c>
      <c r="K111" s="11" t="str">
        <f t="shared" si="91"/>
        <v>CS001252</v>
      </c>
      <c r="L111" s="10" t="str">
        <f t="shared" si="92"/>
        <v>Chiltern Railways Co Ltd</v>
      </c>
      <c r="M111" s="12" t="str">
        <f t="shared" si="93"/>
        <v>11/01/2017 00:00:00</v>
      </c>
      <c r="N111" s="12">
        <v>42746</v>
      </c>
      <c r="O111" s="10" t="str">
        <f t="shared" si="94"/>
        <v>C007407</v>
      </c>
      <c r="P111" s="13">
        <v>33.1</v>
      </c>
      <c r="Q111" s="11" t="str">
        <f>"33.1000"</f>
        <v>33.1000</v>
      </c>
      <c r="R111" s="10" t="str">
        <f t="shared" si="95"/>
        <v>C0004363</v>
      </c>
      <c r="S111" s="14" t="str">
        <f t="shared" si="96"/>
        <v>1265.1000</v>
      </c>
      <c r="T111" s="10">
        <v>21700</v>
      </c>
      <c r="U111" s="10">
        <v>1330</v>
      </c>
      <c r="V111" s="10" t="str">
        <f t="shared" si="97"/>
        <v>Public Transport</v>
      </c>
      <c r="W111" s="10" t="str">
        <f t="shared" si="98"/>
        <v>Transport Related Expenditure</v>
      </c>
      <c r="X111" s="10" t="str">
        <f>VLOOKUP(U111,'[1]Account code lookup'!A:B,2,0)</f>
        <v>Trains, planes &amp; buses</v>
      </c>
      <c r="Z111" s="10" t="str">
        <f>"Community Services"</f>
        <v>Community Services</v>
      </c>
      <c r="AA111" s="10" t="str">
        <f>"Operations and Delivery"</f>
        <v>Operations and Delivery</v>
      </c>
      <c r="AB111" s="10" t="str">
        <f>"5oad"</f>
        <v>5oad</v>
      </c>
      <c r="AD111" s="10" t="str">
        <f>"oad01"</f>
        <v>oad01</v>
      </c>
      <c r="AE111" s="10" t="str">
        <f t="shared" si="89"/>
        <v>Finance &amp; Procurement / Finance</v>
      </c>
      <c r="AG111" s="10" t="str">
        <f>"21700/1330"</f>
        <v>21700/1330</v>
      </c>
      <c r="AI111" s="10" t="str">
        <f t="shared" si="99"/>
        <v>13trans</v>
      </c>
      <c r="AJ111" s="15" t="str">
        <f>"N Barnes"</f>
        <v>N Barnes</v>
      </c>
      <c r="AK111" s="10" t="str">
        <f t="shared" si="90"/>
        <v>Revenue</v>
      </c>
      <c r="AL111" s="10" t="str">
        <f>""</f>
        <v/>
      </c>
      <c r="AM111" s="10" t="str">
        <f>""</f>
        <v/>
      </c>
      <c r="AN111" s="10" t="str">
        <f>""</f>
        <v/>
      </c>
      <c r="AO111" s="10" t="str">
        <f>""</f>
        <v/>
      </c>
    </row>
    <row r="112" spans="1:41" s="10" customFormat="1" ht="409.6">
      <c r="A112" s="9"/>
      <c r="B112" s="9"/>
      <c r="C112" s="9"/>
      <c r="D112" s="10" t="str">
        <f>"32465"</f>
        <v>32465</v>
      </c>
      <c r="E112" s="11" t="str">
        <f>""</f>
        <v/>
      </c>
      <c r="F112" s="11" t="str">
        <f t="shared" si="48"/>
        <v>372418</v>
      </c>
      <c r="G112" s="11" t="str">
        <f t="shared" si="49"/>
        <v>2017toJAN</v>
      </c>
      <c r="H112" s="11" t="str">
        <f t="shared" si="50"/>
        <v>CRSP06B</v>
      </c>
      <c r="I112" s="11" t="str">
        <f t="shared" si="51"/>
        <v>34</v>
      </c>
      <c r="J112" s="11" t="str">
        <f t="shared" si="52"/>
        <v>Creditor</v>
      </c>
      <c r="K112" s="11" t="str">
        <f t="shared" si="91"/>
        <v>CS001252</v>
      </c>
      <c r="L112" s="10" t="str">
        <f t="shared" si="92"/>
        <v>Chiltern Railways Co Ltd</v>
      </c>
      <c r="M112" s="12" t="str">
        <f t="shared" si="93"/>
        <v>11/01/2017 00:00:00</v>
      </c>
      <c r="N112" s="12">
        <v>42746</v>
      </c>
      <c r="O112" s="10" t="str">
        <f t="shared" si="94"/>
        <v>C007407</v>
      </c>
      <c r="P112" s="13">
        <v>53</v>
      </c>
      <c r="Q112" s="11" t="str">
        <f>"53.0000"</f>
        <v>53.0000</v>
      </c>
      <c r="R112" s="10" t="str">
        <f t="shared" si="95"/>
        <v>C0004363</v>
      </c>
      <c r="S112" s="14" t="str">
        <f t="shared" si="96"/>
        <v>1265.1000</v>
      </c>
      <c r="T112" s="10">
        <v>21711</v>
      </c>
      <c r="U112" s="10">
        <v>1330</v>
      </c>
      <c r="V112" s="10" t="str">
        <f t="shared" si="97"/>
        <v>Public Transport</v>
      </c>
      <c r="W112" s="10" t="str">
        <f t="shared" si="98"/>
        <v>Transport Related Expenditure</v>
      </c>
      <c r="X112" s="10" t="str">
        <f>VLOOKUP(U112,'[1]Account code lookup'!A:B,2,0)</f>
        <v>Trains, planes &amp; buses</v>
      </c>
      <c r="Z112" s="10" t="str">
        <f>"Business Transformation"</f>
        <v>Business Transformation</v>
      </c>
      <c r="AA112" s="10" t="str">
        <f>"Commercial Development"</f>
        <v>Commercial Development</v>
      </c>
      <c r="AB112" s="10" t="str">
        <f>"2cdb"</f>
        <v>2cdb</v>
      </c>
      <c r="AD112" s="10" t="str">
        <f>"cdb05"</f>
        <v>cdb05</v>
      </c>
      <c r="AE112" s="10" t="str">
        <f t="shared" si="89"/>
        <v>Finance &amp; Procurement / Finance</v>
      </c>
      <c r="AG112" s="10" t="str">
        <f>"21711/1330"</f>
        <v>21711/1330</v>
      </c>
      <c r="AI112" s="10" t="str">
        <f t="shared" si="99"/>
        <v>13trans</v>
      </c>
      <c r="AJ112" s="15" t="str">
        <f>"C Taylor"</f>
        <v>C Taylor</v>
      </c>
      <c r="AK112" s="10" t="str">
        <f t="shared" si="90"/>
        <v>Revenue</v>
      </c>
      <c r="AL112" s="10" t="str">
        <f>""</f>
        <v/>
      </c>
      <c r="AM112" s="10" t="str">
        <f>""</f>
        <v/>
      </c>
      <c r="AN112" s="10" t="str">
        <f>""</f>
        <v/>
      </c>
      <c r="AO112" s="10" t="str">
        <f>""</f>
        <v/>
      </c>
    </row>
    <row r="113" spans="1:55" s="10" customFormat="1" ht="409.6">
      <c r="A113" s="9"/>
      <c r="B113" s="9"/>
      <c r="C113" s="9"/>
      <c r="D113" s="10" t="str">
        <f>"32830"</f>
        <v>32830</v>
      </c>
      <c r="E113" s="11" t="str">
        <f>""</f>
        <v/>
      </c>
      <c r="F113" s="11" t="str">
        <f t="shared" si="48"/>
        <v>372418</v>
      </c>
      <c r="G113" s="11" t="str">
        <f t="shared" si="49"/>
        <v>2017toJAN</v>
      </c>
      <c r="H113" s="11" t="str">
        <f t="shared" si="50"/>
        <v>CRSP06B</v>
      </c>
      <c r="I113" s="11" t="str">
        <f t="shared" si="51"/>
        <v>34</v>
      </c>
      <c r="J113" s="11" t="str">
        <f t="shared" si="52"/>
        <v>Creditor</v>
      </c>
      <c r="K113" s="11" t="str">
        <f t="shared" si="91"/>
        <v>CS001252</v>
      </c>
      <c r="L113" s="10" t="str">
        <f t="shared" si="92"/>
        <v>Chiltern Railways Co Ltd</v>
      </c>
      <c r="M113" s="12" t="str">
        <f t="shared" si="93"/>
        <v>11/01/2017 00:00:00</v>
      </c>
      <c r="N113" s="12">
        <v>42746</v>
      </c>
      <c r="O113" s="10" t="str">
        <f t="shared" si="94"/>
        <v>C007407</v>
      </c>
      <c r="P113" s="13">
        <v>79</v>
      </c>
      <c r="Q113" s="11" t="str">
        <f>"79.0000"</f>
        <v>79.0000</v>
      </c>
      <c r="R113" s="10" t="str">
        <f t="shared" si="95"/>
        <v>C0004363</v>
      </c>
      <c r="S113" s="14" t="str">
        <f t="shared" si="96"/>
        <v>1265.1000</v>
      </c>
      <c r="T113" s="10">
        <v>21725</v>
      </c>
      <c r="U113" s="10">
        <v>1330</v>
      </c>
      <c r="V113" s="10" t="str">
        <f t="shared" si="97"/>
        <v>Public Transport</v>
      </c>
      <c r="W113" s="10" t="str">
        <f t="shared" si="98"/>
        <v>Transport Related Expenditure</v>
      </c>
      <c r="X113" s="10" t="str">
        <f>VLOOKUP(U113,'[1]Account code lookup'!A:B,2,0)</f>
        <v>Trains, planes &amp; buses</v>
      </c>
      <c r="Z113" s="10" t="str">
        <f>"Regeneration and Housing"</f>
        <v>Regeneration and Housing</v>
      </c>
      <c r="AA113" s="10" t="str">
        <f>"Commercial Development"</f>
        <v>Commercial Development</v>
      </c>
      <c r="AB113" s="10" t="str">
        <f>"2cdb"</f>
        <v>2cdb</v>
      </c>
      <c r="AD113" s="10" t="str">
        <f>"cdb02"</f>
        <v>cdb02</v>
      </c>
      <c r="AE113" s="10" t="str">
        <f t="shared" si="89"/>
        <v>Finance &amp; Procurement / Finance</v>
      </c>
      <c r="AG113" s="10" t="str">
        <f>"21725/1330"</f>
        <v>21725/1330</v>
      </c>
      <c r="AI113" s="10" t="str">
        <f t="shared" si="99"/>
        <v>13trans</v>
      </c>
      <c r="AJ113" s="15" t="str">
        <f>"J Slack"</f>
        <v>J Slack</v>
      </c>
      <c r="AK113" s="10" t="str">
        <f t="shared" si="90"/>
        <v>Revenue</v>
      </c>
      <c r="AL113" s="10" t="str">
        <f>""</f>
        <v/>
      </c>
      <c r="AM113" s="10" t="str">
        <f>""</f>
        <v/>
      </c>
      <c r="AN113" s="10" t="str">
        <f>""</f>
        <v/>
      </c>
      <c r="AO113" s="10" t="str">
        <f>""</f>
        <v/>
      </c>
    </row>
    <row r="114" spans="1:55" s="10" customFormat="1" ht="409.6">
      <c r="A114" s="9"/>
      <c r="B114" s="9"/>
      <c r="C114" s="9"/>
      <c r="D114" s="10" t="str">
        <f>"32874"</f>
        <v>32874</v>
      </c>
      <c r="E114" s="11" t="str">
        <f>""</f>
        <v/>
      </c>
      <c r="F114" s="11" t="str">
        <f t="shared" si="48"/>
        <v>372418</v>
      </c>
      <c r="G114" s="11" t="str">
        <f t="shared" si="49"/>
        <v>2017toJAN</v>
      </c>
      <c r="H114" s="11" t="str">
        <f t="shared" si="50"/>
        <v>CRSP06B</v>
      </c>
      <c r="I114" s="11" t="str">
        <f t="shared" si="51"/>
        <v>34</v>
      </c>
      <c r="J114" s="11" t="str">
        <f t="shared" si="52"/>
        <v>Creditor</v>
      </c>
      <c r="K114" s="11" t="str">
        <f t="shared" si="91"/>
        <v>CS001252</v>
      </c>
      <c r="L114" s="10" t="str">
        <f t="shared" si="92"/>
        <v>Chiltern Railways Co Ltd</v>
      </c>
      <c r="M114" s="12" t="str">
        <f t="shared" si="93"/>
        <v>11/01/2017 00:00:00</v>
      </c>
      <c r="N114" s="12">
        <v>42746</v>
      </c>
      <c r="O114" s="10" t="str">
        <f t="shared" si="94"/>
        <v>C007407</v>
      </c>
      <c r="P114" s="13">
        <v>21.3</v>
      </c>
      <c r="Q114" s="11" t="str">
        <f>"21.3000"</f>
        <v>21.3000</v>
      </c>
      <c r="R114" s="10" t="str">
        <f t="shared" si="95"/>
        <v>C0004363</v>
      </c>
      <c r="S114" s="14" t="str">
        <f t="shared" si="96"/>
        <v>1265.1000</v>
      </c>
      <c r="T114" s="10">
        <v>21730</v>
      </c>
      <c r="U114" s="10">
        <v>1330</v>
      </c>
      <c r="V114" s="10" t="str">
        <f t="shared" si="97"/>
        <v>Public Transport</v>
      </c>
      <c r="W114" s="10" t="str">
        <f t="shared" si="98"/>
        <v>Transport Related Expenditure</v>
      </c>
      <c r="X114" s="10" t="str">
        <f>VLOOKUP(U114,'[1]Account code lookup'!A:B,2,0)</f>
        <v>Trains, planes &amp; buses</v>
      </c>
      <c r="Z114" s="10" t="str">
        <f>"Human Resources"</f>
        <v>Human Resources</v>
      </c>
      <c r="AA114" s="10" t="str">
        <f>"Commercial Development"</f>
        <v>Commercial Development</v>
      </c>
      <c r="AB114" s="10" t="str">
        <f>"2cdb"</f>
        <v>2cdb</v>
      </c>
      <c r="AD114" s="10" t="str">
        <f>"cdb03"</f>
        <v>cdb03</v>
      </c>
      <c r="AE114" s="10" t="str">
        <f t="shared" si="89"/>
        <v>Finance &amp; Procurement / Finance</v>
      </c>
      <c r="AG114" s="10" t="str">
        <f>"21730/1330"</f>
        <v>21730/1330</v>
      </c>
      <c r="AI114" s="10" t="str">
        <f t="shared" si="99"/>
        <v>13trans</v>
      </c>
      <c r="AJ114" s="15" t="str">
        <f>"V Claridge"</f>
        <v>V Claridge</v>
      </c>
      <c r="AK114" s="10" t="str">
        <f t="shared" si="90"/>
        <v>Revenue</v>
      </c>
      <c r="AL114" s="10" t="str">
        <f>""</f>
        <v/>
      </c>
      <c r="AM114" s="10" t="str">
        <f>""</f>
        <v/>
      </c>
      <c r="AN114" s="10" t="str">
        <f>""</f>
        <v/>
      </c>
      <c r="AO114" s="10" t="str">
        <f>""</f>
        <v/>
      </c>
    </row>
    <row r="115" spans="1:55" s="10" customFormat="1" ht="409.6">
      <c r="A115" s="9"/>
      <c r="B115" s="9"/>
      <c r="C115" s="9"/>
      <c r="D115" s="10" t="str">
        <f>"32922"</f>
        <v>32922</v>
      </c>
      <c r="E115" s="11" t="str">
        <f>""</f>
        <v/>
      </c>
      <c r="F115" s="11" t="str">
        <f t="shared" si="48"/>
        <v>372418</v>
      </c>
      <c r="G115" s="11" t="str">
        <f t="shared" si="49"/>
        <v>2017toJAN</v>
      </c>
      <c r="H115" s="11" t="str">
        <f t="shared" si="50"/>
        <v>CRSP06B</v>
      </c>
      <c r="I115" s="11" t="str">
        <f t="shared" si="51"/>
        <v>34</v>
      </c>
      <c r="J115" s="11" t="str">
        <f t="shared" si="52"/>
        <v>Creditor</v>
      </c>
      <c r="K115" s="11" t="str">
        <f t="shared" si="91"/>
        <v>CS001252</v>
      </c>
      <c r="L115" s="10" t="str">
        <f t="shared" si="92"/>
        <v>Chiltern Railways Co Ltd</v>
      </c>
      <c r="M115" s="12" t="str">
        <f t="shared" si="93"/>
        <v>11/01/2017 00:00:00</v>
      </c>
      <c r="N115" s="12">
        <v>42746</v>
      </c>
      <c r="O115" s="10" t="str">
        <f t="shared" si="94"/>
        <v>C007407</v>
      </c>
      <c r="P115" s="13">
        <v>108.6</v>
      </c>
      <c r="Q115" s="11" t="str">
        <f>"108.6000"</f>
        <v>108.6000</v>
      </c>
      <c r="R115" s="10" t="str">
        <f t="shared" si="95"/>
        <v>C0004363</v>
      </c>
      <c r="S115" s="14" t="str">
        <f t="shared" si="96"/>
        <v>1265.1000</v>
      </c>
      <c r="T115" s="10">
        <v>21733</v>
      </c>
      <c r="U115" s="10">
        <v>1330</v>
      </c>
      <c r="V115" s="10" t="str">
        <f t="shared" si="97"/>
        <v>Public Transport</v>
      </c>
      <c r="W115" s="10" t="str">
        <f t="shared" si="98"/>
        <v>Transport Related Expenditure</v>
      </c>
      <c r="X115" s="10" t="str">
        <f>VLOOKUP(U115,'[1]Account code lookup'!A:B,2,0)</f>
        <v>Trains, planes &amp; buses</v>
      </c>
      <c r="Z115" s="10" t="str">
        <f>"Information Services"</f>
        <v>Information Services</v>
      </c>
      <c r="AA115" s="10" t="str">
        <f>"Commercial Development"</f>
        <v>Commercial Development</v>
      </c>
      <c r="AB115" s="10" t="str">
        <f>"2cdb"</f>
        <v>2cdb</v>
      </c>
      <c r="AD115" s="10" t="str">
        <f>"cdb04"</f>
        <v>cdb04</v>
      </c>
      <c r="AE115" s="10" t="str">
        <f t="shared" si="89"/>
        <v>Finance &amp; Procurement / Finance</v>
      </c>
      <c r="AG115" s="10" t="str">
        <f>"21733/1330"</f>
        <v>21733/1330</v>
      </c>
      <c r="AI115" s="10" t="str">
        <f t="shared" si="99"/>
        <v>13trans</v>
      </c>
      <c r="AJ115" s="15" t="str">
        <f>"D Spilsbury"</f>
        <v>D Spilsbury</v>
      </c>
      <c r="AK115" s="10" t="str">
        <f t="shared" si="90"/>
        <v>Revenue</v>
      </c>
      <c r="AL115" s="10" t="str">
        <f>""</f>
        <v/>
      </c>
      <c r="AM115" s="10" t="str">
        <f>""</f>
        <v/>
      </c>
      <c r="AN115" s="10" t="str">
        <f>""</f>
        <v/>
      </c>
      <c r="AO115" s="10" t="str">
        <f>""</f>
        <v/>
      </c>
    </row>
    <row r="116" spans="1:55" s="10" customFormat="1" ht="409.6">
      <c r="A116" s="9"/>
      <c r="B116" s="9"/>
      <c r="C116" s="9"/>
      <c r="D116" s="10" t="str">
        <f>"33371"</f>
        <v>33371</v>
      </c>
      <c r="E116" s="11" t="str">
        <f>""</f>
        <v/>
      </c>
      <c r="F116" s="11" t="str">
        <f t="shared" si="48"/>
        <v>372418</v>
      </c>
      <c r="G116" s="11" t="str">
        <f t="shared" si="49"/>
        <v>2017toJAN</v>
      </c>
      <c r="H116" s="11" t="str">
        <f t="shared" si="50"/>
        <v>CRSP06B</v>
      </c>
      <c r="I116" s="11" t="str">
        <f t="shared" si="51"/>
        <v>34</v>
      </c>
      <c r="J116" s="11" t="str">
        <f t="shared" si="52"/>
        <v>Creditor</v>
      </c>
      <c r="K116" s="11" t="str">
        <f t="shared" si="91"/>
        <v>CS001252</v>
      </c>
      <c r="L116" s="10" t="str">
        <f t="shared" si="92"/>
        <v>Chiltern Railways Co Ltd</v>
      </c>
      <c r="M116" s="12" t="str">
        <f t="shared" si="93"/>
        <v>11/01/2017 00:00:00</v>
      </c>
      <c r="N116" s="12">
        <v>42746</v>
      </c>
      <c r="O116" s="10" t="str">
        <f t="shared" si="94"/>
        <v>C007407</v>
      </c>
      <c r="P116" s="13">
        <v>12.7</v>
      </c>
      <c r="Q116" s="11" t="str">
        <f>"12.7000"</f>
        <v>12.7000</v>
      </c>
      <c r="R116" s="10" t="str">
        <f t="shared" si="95"/>
        <v>C0004363</v>
      </c>
      <c r="S116" s="14" t="str">
        <f t="shared" si="96"/>
        <v>1265.1000</v>
      </c>
      <c r="T116" s="10">
        <v>21746</v>
      </c>
      <c r="U116" s="10">
        <v>1330</v>
      </c>
      <c r="V116" s="10" t="str">
        <f t="shared" si="97"/>
        <v>Public Transport</v>
      </c>
      <c r="W116" s="10" t="str">
        <f t="shared" si="98"/>
        <v>Transport Related Expenditure</v>
      </c>
      <c r="X116" s="10" t="str">
        <f>VLOOKUP(U116,'[1]Account code lookup'!A:B,2,0)</f>
        <v>Trains, planes &amp; buses</v>
      </c>
      <c r="Z116" s="10" t="str">
        <f>"Finance and Procurement"</f>
        <v>Finance and Procurement</v>
      </c>
      <c r="AA116" s="10" t="str">
        <f>"Chief Finance Officer"</f>
        <v>Chief Finance Officer</v>
      </c>
      <c r="AB116" s="10" t="str">
        <f>"3cfo"</f>
        <v>3cfo</v>
      </c>
      <c r="AD116" s="10" t="str">
        <f>"cfo02"</f>
        <v>cfo02</v>
      </c>
      <c r="AE116" s="10" t="str">
        <f t="shared" si="89"/>
        <v>Finance &amp; Procurement / Finance</v>
      </c>
      <c r="AG116" s="10" t="str">
        <f>"21746/1330"</f>
        <v>21746/1330</v>
      </c>
      <c r="AI116" s="10" t="str">
        <f t="shared" si="99"/>
        <v>13trans</v>
      </c>
      <c r="AJ116" s="15" t="str">
        <f>"C Sendell-Price"</f>
        <v>C Sendell-Price</v>
      </c>
      <c r="AK116" s="10" t="str">
        <f t="shared" si="90"/>
        <v>Revenue</v>
      </c>
      <c r="AL116" s="10" t="str">
        <f>""</f>
        <v/>
      </c>
      <c r="AM116" s="10" t="str">
        <f>""</f>
        <v/>
      </c>
      <c r="AN116" s="10" t="str">
        <f>""</f>
        <v/>
      </c>
      <c r="AO116" s="10" t="str">
        <f>""</f>
        <v/>
      </c>
    </row>
    <row r="117" spans="1:55" s="10" customFormat="1" ht="409.6">
      <c r="A117" s="9"/>
      <c r="B117" s="9"/>
      <c r="C117" s="9"/>
      <c r="D117" s="10" t="str">
        <f>"33372"</f>
        <v>33372</v>
      </c>
      <c r="E117" s="11" t="str">
        <f>""</f>
        <v/>
      </c>
      <c r="F117" s="11" t="str">
        <f t="shared" si="48"/>
        <v>372418</v>
      </c>
      <c r="G117" s="11" t="str">
        <f t="shared" si="49"/>
        <v>2017toJAN</v>
      </c>
      <c r="H117" s="11" t="str">
        <f t="shared" si="50"/>
        <v>CRSP06B</v>
      </c>
      <c r="I117" s="11" t="str">
        <f t="shared" si="51"/>
        <v>34</v>
      </c>
      <c r="J117" s="11" t="str">
        <f t="shared" si="52"/>
        <v>Creditor</v>
      </c>
      <c r="K117" s="11" t="str">
        <f t="shared" si="91"/>
        <v>CS001252</v>
      </c>
      <c r="L117" s="10" t="str">
        <f t="shared" si="92"/>
        <v>Chiltern Railways Co Ltd</v>
      </c>
      <c r="M117" s="12" t="str">
        <f t="shared" si="93"/>
        <v>11/01/2017 00:00:00</v>
      </c>
      <c r="N117" s="12">
        <v>42746</v>
      </c>
      <c r="O117" s="10" t="str">
        <f t="shared" si="94"/>
        <v>C007407</v>
      </c>
      <c r="P117" s="13">
        <v>152.19999999999999</v>
      </c>
      <c r="Q117" s="11" t="str">
        <f>"152.2000"</f>
        <v>152.2000</v>
      </c>
      <c r="R117" s="10" t="str">
        <f t="shared" si="95"/>
        <v>C0004363</v>
      </c>
      <c r="S117" s="14" t="str">
        <f t="shared" si="96"/>
        <v>1265.1000</v>
      </c>
      <c r="T117" s="10">
        <v>21747</v>
      </c>
      <c r="U117" s="10">
        <v>1330</v>
      </c>
      <c r="V117" s="10" t="str">
        <f t="shared" si="97"/>
        <v>Public Transport</v>
      </c>
      <c r="W117" s="10" t="str">
        <f t="shared" si="98"/>
        <v>Transport Related Expenditure</v>
      </c>
      <c r="X117" s="10" t="str">
        <f>VLOOKUP(U117,'[1]Account code lookup'!A:B,2,0)</f>
        <v>Trains, planes &amp; buses</v>
      </c>
      <c r="Z117" s="10" t="str">
        <f>"Finance and Procurement"</f>
        <v>Finance and Procurement</v>
      </c>
      <c r="AA117" s="10" t="str">
        <f>"Chief Finance Officer"</f>
        <v>Chief Finance Officer</v>
      </c>
      <c r="AB117" s="10" t="str">
        <f>"3cfo"</f>
        <v>3cfo</v>
      </c>
      <c r="AD117" s="10" t="str">
        <f>"cfo02"</f>
        <v>cfo02</v>
      </c>
      <c r="AE117" s="10" t="str">
        <f t="shared" si="89"/>
        <v>Finance &amp; Procurement / Finance</v>
      </c>
      <c r="AG117" s="10" t="str">
        <f>"21747/1330"</f>
        <v>21747/1330</v>
      </c>
      <c r="AI117" s="10" t="str">
        <f t="shared" si="99"/>
        <v>13trans</v>
      </c>
      <c r="AJ117" s="15" t="str">
        <f>"I Robinson"</f>
        <v>I Robinson</v>
      </c>
      <c r="AK117" s="10" t="str">
        <f t="shared" si="90"/>
        <v>Revenue</v>
      </c>
      <c r="AL117" s="10" t="str">
        <f>""</f>
        <v/>
      </c>
      <c r="AM117" s="10" t="str">
        <f>""</f>
        <v/>
      </c>
      <c r="AN117" s="10" t="str">
        <f>""</f>
        <v/>
      </c>
      <c r="AO117" s="10" t="str">
        <f>""</f>
        <v/>
      </c>
    </row>
    <row r="118" spans="1:55" s="10" customFormat="1" ht="409.6">
      <c r="A118" s="9"/>
      <c r="B118" s="9"/>
      <c r="C118" s="9"/>
      <c r="D118" s="10" t="str">
        <f>"33914"</f>
        <v>33914</v>
      </c>
      <c r="E118" s="11" t="str">
        <f>""</f>
        <v/>
      </c>
      <c r="F118" s="11" t="str">
        <f t="shared" si="48"/>
        <v>372418</v>
      </c>
      <c r="G118" s="11" t="str">
        <f t="shared" si="49"/>
        <v>2017toJAN</v>
      </c>
      <c r="H118" s="11" t="str">
        <f t="shared" si="50"/>
        <v>CRSP06B</v>
      </c>
      <c r="I118" s="11" t="str">
        <f t="shared" si="51"/>
        <v>34</v>
      </c>
      <c r="J118" s="11" t="str">
        <f t="shared" si="52"/>
        <v>Creditor</v>
      </c>
      <c r="K118" s="11" t="str">
        <f t="shared" si="91"/>
        <v>CS001252</v>
      </c>
      <c r="L118" s="10" t="str">
        <f t="shared" si="92"/>
        <v>Chiltern Railways Co Ltd</v>
      </c>
      <c r="M118" s="12" t="str">
        <f t="shared" si="93"/>
        <v>11/01/2017 00:00:00</v>
      </c>
      <c r="N118" s="12">
        <v>42746</v>
      </c>
      <c r="O118" s="10" t="str">
        <f t="shared" si="94"/>
        <v>C007407</v>
      </c>
      <c r="P118" s="13">
        <v>115.9</v>
      </c>
      <c r="Q118" s="11" t="str">
        <f>"115.9000"</f>
        <v>115.9000</v>
      </c>
      <c r="R118" s="10" t="str">
        <f t="shared" si="95"/>
        <v>C0004363</v>
      </c>
      <c r="S118" s="14" t="str">
        <f t="shared" si="96"/>
        <v>1265.1000</v>
      </c>
      <c r="T118" s="10">
        <v>21754</v>
      </c>
      <c r="U118" s="10">
        <v>1330</v>
      </c>
      <c r="V118" s="10" t="str">
        <f t="shared" si="97"/>
        <v>Public Transport</v>
      </c>
      <c r="W118" s="10" t="str">
        <f t="shared" si="98"/>
        <v>Transport Related Expenditure</v>
      </c>
      <c r="X118" s="10" t="str">
        <f>VLOOKUP(U118,'[1]Account code lookup'!A:B,2,0)</f>
        <v>Trains, planes &amp; buses</v>
      </c>
      <c r="Z118" s="10" t="str">
        <f>"Law and Governance"</f>
        <v>Law and Governance</v>
      </c>
      <c r="AA118" s="10" t="str">
        <f>"Strategy and Commissioning"</f>
        <v>Strategy and Commissioning</v>
      </c>
      <c r="AB118" s="10" t="str">
        <f>"4sac"</f>
        <v>4sac</v>
      </c>
      <c r="AD118" s="10" t="str">
        <f>"sac07"</f>
        <v>sac07</v>
      </c>
      <c r="AE118" s="10" t="str">
        <f t="shared" si="89"/>
        <v>Finance &amp; Procurement / Finance</v>
      </c>
      <c r="AG118" s="10" t="str">
        <f>"21754/1330"</f>
        <v>21754/1330</v>
      </c>
      <c r="AI118" s="10" t="str">
        <f t="shared" si="99"/>
        <v>13trans</v>
      </c>
      <c r="AJ118" s="15" t="str">
        <f>"A Jones,  H Lolas &amp; S Moller"</f>
        <v>A Jones,  H Lolas &amp; S Moller</v>
      </c>
      <c r="AK118" s="10" t="str">
        <f t="shared" si="90"/>
        <v>Revenue</v>
      </c>
      <c r="AL118" s="10" t="str">
        <f>""</f>
        <v/>
      </c>
      <c r="AM118" s="10" t="str">
        <f>""</f>
        <v/>
      </c>
      <c r="AN118" s="10" t="str">
        <f>""</f>
        <v/>
      </c>
      <c r="AO118" s="10" t="str">
        <f>""</f>
        <v/>
      </c>
    </row>
    <row r="119" spans="1:55" s="10" customFormat="1" ht="409.6">
      <c r="A119" s="9"/>
      <c r="B119" s="9"/>
      <c r="C119" s="9"/>
      <c r="D119" s="10" t="str">
        <f>"33922"</f>
        <v>33922</v>
      </c>
      <c r="E119" s="11" t="str">
        <f>""</f>
        <v/>
      </c>
      <c r="F119" s="11" t="str">
        <f t="shared" si="48"/>
        <v>372418</v>
      </c>
      <c r="G119" s="11" t="str">
        <f t="shared" si="49"/>
        <v>2017toJAN</v>
      </c>
      <c r="H119" s="11" t="str">
        <f t="shared" si="50"/>
        <v>CRSP06B</v>
      </c>
      <c r="I119" s="11" t="str">
        <f t="shared" si="51"/>
        <v>34</v>
      </c>
      <c r="J119" s="11" t="str">
        <f t="shared" si="52"/>
        <v>Creditor</v>
      </c>
      <c r="K119" s="11" t="str">
        <f t="shared" si="91"/>
        <v>CS001252</v>
      </c>
      <c r="L119" s="10" t="str">
        <f t="shared" si="92"/>
        <v>Chiltern Railways Co Ltd</v>
      </c>
      <c r="M119" s="12" t="str">
        <f t="shared" si="93"/>
        <v>11/01/2017 00:00:00</v>
      </c>
      <c r="N119" s="12">
        <v>42746</v>
      </c>
      <c r="O119" s="10" t="str">
        <f t="shared" si="94"/>
        <v>C007407</v>
      </c>
      <c r="P119" s="13">
        <v>170.8</v>
      </c>
      <c r="Q119" s="11" t="str">
        <f>"170.8000"</f>
        <v>170.8000</v>
      </c>
      <c r="R119" s="10" t="str">
        <f t="shared" si="95"/>
        <v>C0004363</v>
      </c>
      <c r="S119" s="14" t="str">
        <f t="shared" si="96"/>
        <v>1265.1000</v>
      </c>
      <c r="T119" s="10">
        <v>22000</v>
      </c>
      <c r="U119" s="10">
        <v>1330</v>
      </c>
      <c r="V119" s="10" t="str">
        <f t="shared" si="97"/>
        <v>Public Transport</v>
      </c>
      <c r="W119" s="10" t="str">
        <f t="shared" si="98"/>
        <v>Transport Related Expenditure</v>
      </c>
      <c r="X119" s="10" t="str">
        <f>VLOOKUP(U119,'[1]Account code lookup'!A:B,2,0)</f>
        <v>Trains, planes &amp; buses</v>
      </c>
      <c r="Z119" s="10" t="str">
        <f>"Law and Governance"</f>
        <v>Law and Governance</v>
      </c>
      <c r="AA119" s="10" t="str">
        <f>"Strategy and Commissioning"</f>
        <v>Strategy and Commissioning</v>
      </c>
      <c r="AB119" s="10" t="str">
        <f>"4sac"</f>
        <v>4sac</v>
      </c>
      <c r="AD119" s="10" t="str">
        <f>"sac07"</f>
        <v>sac07</v>
      </c>
      <c r="AE119" s="10" t="str">
        <f t="shared" si="89"/>
        <v>Finance &amp; Procurement / Finance</v>
      </c>
      <c r="AG119" s="10" t="str">
        <f>"22000/1330"</f>
        <v>22000/1330</v>
      </c>
      <c r="AI119" s="10" t="str">
        <f t="shared" si="99"/>
        <v>13trans</v>
      </c>
      <c r="AJ119" s="15" t="str">
        <f>"Cllr A McHugh &amp; Cllr B Wood"</f>
        <v>Cllr A McHugh &amp; Cllr B Wood</v>
      </c>
      <c r="AK119" s="10" t="str">
        <f t="shared" si="90"/>
        <v>Revenue</v>
      </c>
      <c r="AL119" s="10" t="str">
        <f>""</f>
        <v/>
      </c>
      <c r="AM119" s="10" t="str">
        <f>""</f>
        <v/>
      </c>
      <c r="AN119" s="10" t="str">
        <f>""</f>
        <v/>
      </c>
      <c r="AO119" s="10" t="str">
        <f>""</f>
        <v/>
      </c>
    </row>
    <row r="120" spans="1:55" s="10" customFormat="1" ht="409.6">
      <c r="A120" s="9"/>
      <c r="B120" s="9"/>
      <c r="C120" s="9"/>
      <c r="D120" s="10" t="str">
        <f>"33924"</f>
        <v>33924</v>
      </c>
      <c r="E120" s="11" t="str">
        <f>""</f>
        <v/>
      </c>
      <c r="F120" s="11" t="str">
        <f t="shared" si="48"/>
        <v>372418</v>
      </c>
      <c r="G120" s="11" t="str">
        <f t="shared" si="49"/>
        <v>2017toJAN</v>
      </c>
      <c r="H120" s="11" t="str">
        <f t="shared" si="50"/>
        <v>CRSP06B</v>
      </c>
      <c r="I120" s="11" t="str">
        <f t="shared" si="51"/>
        <v>34</v>
      </c>
      <c r="J120" s="11" t="str">
        <f t="shared" si="52"/>
        <v>Creditor</v>
      </c>
      <c r="K120" s="11" t="str">
        <f t="shared" si="91"/>
        <v>CS001252</v>
      </c>
      <c r="L120" s="10" t="str">
        <f t="shared" si="92"/>
        <v>Chiltern Railways Co Ltd</v>
      </c>
      <c r="M120" s="12" t="str">
        <f t="shared" si="93"/>
        <v>11/01/2017 00:00:00</v>
      </c>
      <c r="N120" s="12">
        <v>42746</v>
      </c>
      <c r="O120" s="10" t="str">
        <f t="shared" si="94"/>
        <v>C007407</v>
      </c>
      <c r="P120" s="13">
        <v>79</v>
      </c>
      <c r="Q120" s="11" t="str">
        <f>"79.0000"</f>
        <v>79.0000</v>
      </c>
      <c r="R120" s="10" t="str">
        <f t="shared" si="95"/>
        <v>C0004363</v>
      </c>
      <c r="S120" s="14" t="str">
        <f t="shared" si="96"/>
        <v>1265.1000</v>
      </c>
      <c r="T120" s="10">
        <v>22010</v>
      </c>
      <c r="U120" s="10">
        <v>1330</v>
      </c>
      <c r="V120" s="10" t="str">
        <f t="shared" si="97"/>
        <v>Public Transport</v>
      </c>
      <c r="W120" s="10" t="str">
        <f t="shared" si="98"/>
        <v>Transport Related Expenditure</v>
      </c>
      <c r="X120" s="10" t="str">
        <f>VLOOKUP(U120,'[1]Account code lookup'!A:B,2,0)</f>
        <v>Trains, planes &amp; buses</v>
      </c>
      <c r="Z120" s="10" t="str">
        <f>"Law and Governance"</f>
        <v>Law and Governance</v>
      </c>
      <c r="AA120" s="10" t="str">
        <f>"Strategy and Commissioning"</f>
        <v>Strategy and Commissioning</v>
      </c>
      <c r="AB120" s="10" t="str">
        <f>"4sac"</f>
        <v>4sac</v>
      </c>
      <c r="AD120" s="10" t="str">
        <f>"sac07"</f>
        <v>sac07</v>
      </c>
      <c r="AE120" s="10" t="str">
        <f t="shared" si="89"/>
        <v>Finance &amp; Procurement / Finance</v>
      </c>
      <c r="AG120" s="10" t="str">
        <f>"22010/1330"</f>
        <v>22010/1330</v>
      </c>
      <c r="AI120" s="10" t="str">
        <f t="shared" si="99"/>
        <v>13trans</v>
      </c>
      <c r="AJ120" s="15" t="str">
        <f>"A Htherington"</f>
        <v>A Htherington</v>
      </c>
      <c r="AK120" s="10" t="str">
        <f t="shared" si="90"/>
        <v>Revenue</v>
      </c>
      <c r="AL120" s="10" t="str">
        <f>""</f>
        <v/>
      </c>
      <c r="AM120" s="10" t="str">
        <f>""</f>
        <v/>
      </c>
      <c r="AN120" s="10" t="str">
        <f>""</f>
        <v/>
      </c>
      <c r="AO120" s="10" t="str">
        <f>""</f>
        <v/>
      </c>
    </row>
    <row r="121" spans="1:55" s="10" customFormat="1" ht="409.6">
      <c r="A121" s="9"/>
      <c r="B121" s="9"/>
      <c r="C121" s="9"/>
      <c r="D121" s="10" t="str">
        <f>"34287"</f>
        <v>34287</v>
      </c>
      <c r="E121" s="11" t="str">
        <f>""</f>
        <v/>
      </c>
      <c r="F121" s="11" t="str">
        <f t="shared" si="48"/>
        <v>372418</v>
      </c>
      <c r="G121" s="11" t="str">
        <f t="shared" si="49"/>
        <v>2017toJAN</v>
      </c>
      <c r="H121" s="11" t="str">
        <f t="shared" si="50"/>
        <v>CRSP06B</v>
      </c>
      <c r="I121" s="11" t="str">
        <f t="shared" si="51"/>
        <v>34</v>
      </c>
      <c r="J121" s="11" t="str">
        <f t="shared" si="52"/>
        <v>Creditor</v>
      </c>
      <c r="K121" s="11" t="str">
        <f t="shared" si="91"/>
        <v>CS001252</v>
      </c>
      <c r="L121" s="10" t="str">
        <f t="shared" si="92"/>
        <v>Chiltern Railways Co Ltd</v>
      </c>
      <c r="M121" s="12" t="str">
        <f t="shared" si="93"/>
        <v>11/01/2017 00:00:00</v>
      </c>
      <c r="N121" s="12">
        <v>42746</v>
      </c>
      <c r="O121" s="10" t="str">
        <f t="shared" si="94"/>
        <v>C007407</v>
      </c>
      <c r="P121" s="13">
        <v>79</v>
      </c>
      <c r="Q121" s="11" t="str">
        <f>"79.0000"</f>
        <v>79.0000</v>
      </c>
      <c r="R121" s="10" t="str">
        <f t="shared" si="95"/>
        <v>C0004363</v>
      </c>
      <c r="S121" s="14" t="str">
        <f t="shared" si="96"/>
        <v>1265.1000</v>
      </c>
      <c r="T121" s="10">
        <v>25540</v>
      </c>
      <c r="U121" s="10">
        <v>1330</v>
      </c>
      <c r="V121" s="10" t="str">
        <f t="shared" si="97"/>
        <v>Public Transport</v>
      </c>
      <c r="W121" s="10" t="str">
        <f t="shared" si="98"/>
        <v>Transport Related Expenditure</v>
      </c>
      <c r="X121" s="10" t="str">
        <f>VLOOKUP(U121,'[1]Account code lookup'!A:B,2,0)</f>
        <v>Trains, planes &amp; buses</v>
      </c>
      <c r="Z121" s="10" t="str">
        <f>"Community Services"</f>
        <v>Community Services</v>
      </c>
      <c r="AA121" s="10" t="str">
        <f>"Operations and Delivery"</f>
        <v>Operations and Delivery</v>
      </c>
      <c r="AB121" s="10" t="str">
        <f>"5oad"</f>
        <v>5oad</v>
      </c>
      <c r="AD121" s="10" t="str">
        <f>"oad01"</f>
        <v>oad01</v>
      </c>
      <c r="AE121" s="10" t="str">
        <f t="shared" si="89"/>
        <v>Finance &amp; Procurement / Finance</v>
      </c>
      <c r="AG121" s="10" t="str">
        <f>"25540/1330"</f>
        <v>25540/1330</v>
      </c>
      <c r="AI121" s="10" t="str">
        <f t="shared" si="99"/>
        <v>13trans</v>
      </c>
      <c r="AJ121" s="15" t="str">
        <f>"R Shah"</f>
        <v>R Shah</v>
      </c>
      <c r="AK121" s="10" t="str">
        <f t="shared" si="90"/>
        <v>Revenue</v>
      </c>
      <c r="AL121" s="10" t="str">
        <f>""</f>
        <v/>
      </c>
      <c r="AM121" s="10" t="str">
        <f>""</f>
        <v/>
      </c>
      <c r="AN121" s="10" t="str">
        <f>""</f>
        <v/>
      </c>
      <c r="AO121" s="10" t="str">
        <f>""</f>
        <v/>
      </c>
    </row>
    <row r="122" spans="1:55" s="10" customFormat="1" ht="409.6">
      <c r="A122" s="9"/>
      <c r="B122" s="9"/>
      <c r="C122" s="9"/>
      <c r="D122" s="10" t="str">
        <f>"34808"</f>
        <v>34808</v>
      </c>
      <c r="E122" s="11" t="str">
        <f>""</f>
        <v/>
      </c>
      <c r="F122" s="11" t="str">
        <f t="shared" ref="F122:F179" si="100">"372418"</f>
        <v>372418</v>
      </c>
      <c r="G122" s="11" t="str">
        <f t="shared" ref="G122:G179" si="101">"2017toJAN"</f>
        <v>2017toJAN</v>
      </c>
      <c r="H122" s="11" t="str">
        <f t="shared" ref="H122:H179" si="102">"CRSP06B"</f>
        <v>CRSP06B</v>
      </c>
      <c r="I122" s="11" t="str">
        <f t="shared" ref="I122:I179" si="103">"34"</f>
        <v>34</v>
      </c>
      <c r="J122" s="11" t="str">
        <f t="shared" ref="J122:J179" si="104">"Creditor"</f>
        <v>Creditor</v>
      </c>
      <c r="K122" s="11" t="str">
        <f t="shared" si="91"/>
        <v>CS001252</v>
      </c>
      <c r="L122" s="10" t="str">
        <f t="shared" si="92"/>
        <v>Chiltern Railways Co Ltd</v>
      </c>
      <c r="M122" s="12" t="str">
        <f t="shared" si="93"/>
        <v>11/01/2017 00:00:00</v>
      </c>
      <c r="N122" s="12">
        <v>42746</v>
      </c>
      <c r="O122" s="10" t="str">
        <f t="shared" si="94"/>
        <v>C007407</v>
      </c>
      <c r="P122" s="13">
        <v>27.6</v>
      </c>
      <c r="Q122" s="11" t="str">
        <f>"27.6000"</f>
        <v>27.6000</v>
      </c>
      <c r="R122" s="10" t="str">
        <f t="shared" si="95"/>
        <v>C0004363</v>
      </c>
      <c r="S122" s="14" t="str">
        <f t="shared" si="96"/>
        <v>1265.1000</v>
      </c>
      <c r="T122" s="10">
        <v>28306</v>
      </c>
      <c r="U122" s="10">
        <v>1330</v>
      </c>
      <c r="V122" s="10" t="str">
        <f t="shared" si="97"/>
        <v>Public Transport</v>
      </c>
      <c r="W122" s="10" t="str">
        <f t="shared" si="98"/>
        <v>Transport Related Expenditure</v>
      </c>
      <c r="X122" s="10" t="str">
        <f>VLOOKUP(U122,'[1]Account code lookup'!A:B,2,0)</f>
        <v>Trains, planes &amp; buses</v>
      </c>
      <c r="Z122" s="10" t="str">
        <f>"Bicester Regeneration Projects"</f>
        <v>Bicester Regeneration Projects</v>
      </c>
      <c r="AA122" s="10" t="str">
        <f>"Commercial Development"</f>
        <v>Commercial Development</v>
      </c>
      <c r="AB122" s="10" t="str">
        <f>"2cdb"</f>
        <v>2cdb</v>
      </c>
      <c r="AD122" s="10" t="str">
        <f>"cdb01"</f>
        <v>cdb01</v>
      </c>
      <c r="AE122" s="10" t="str">
        <f t="shared" si="89"/>
        <v>Finance &amp; Procurement / Finance</v>
      </c>
      <c r="AG122" s="10" t="str">
        <f>"28306/1330"</f>
        <v>28306/1330</v>
      </c>
      <c r="AI122" s="10" t="str">
        <f t="shared" si="99"/>
        <v>13trans</v>
      </c>
      <c r="AJ122" s="15" t="str">
        <f>"K Curtin"</f>
        <v>K Curtin</v>
      </c>
      <c r="AK122" s="10" t="str">
        <f t="shared" si="90"/>
        <v>Revenue</v>
      </c>
      <c r="AL122" s="10" t="str">
        <f>""</f>
        <v/>
      </c>
      <c r="AM122" s="10" t="str">
        <f>""</f>
        <v/>
      </c>
      <c r="AN122" s="10" t="str">
        <f>""</f>
        <v/>
      </c>
      <c r="AO122" s="10" t="str">
        <f>""</f>
        <v/>
      </c>
    </row>
    <row r="123" spans="1:55" s="10" customFormat="1" ht="409.6">
      <c r="A123" s="9"/>
      <c r="B123" s="9"/>
      <c r="C123" s="9"/>
      <c r="D123" s="10" t="str">
        <f>"34843"</f>
        <v>34843</v>
      </c>
      <c r="E123" s="11" t="str">
        <f>""</f>
        <v/>
      </c>
      <c r="F123" s="11" t="str">
        <f t="shared" si="100"/>
        <v>372418</v>
      </c>
      <c r="G123" s="11" t="str">
        <f t="shared" si="101"/>
        <v>2017toJAN</v>
      </c>
      <c r="H123" s="11" t="str">
        <f t="shared" si="102"/>
        <v>CRSP06B</v>
      </c>
      <c r="I123" s="11" t="str">
        <f t="shared" si="103"/>
        <v>34</v>
      </c>
      <c r="J123" s="11" t="str">
        <f t="shared" si="104"/>
        <v>Creditor</v>
      </c>
      <c r="K123" s="11" t="str">
        <f t="shared" si="91"/>
        <v>CS001252</v>
      </c>
      <c r="L123" s="10" t="str">
        <f t="shared" si="92"/>
        <v>Chiltern Railways Co Ltd</v>
      </c>
      <c r="M123" s="12" t="str">
        <f t="shared" si="93"/>
        <v>11/01/2017 00:00:00</v>
      </c>
      <c r="N123" s="12">
        <v>42746</v>
      </c>
      <c r="O123" s="10" t="str">
        <f t="shared" si="94"/>
        <v>C007407</v>
      </c>
      <c r="P123" s="13">
        <v>63.4</v>
      </c>
      <c r="Q123" s="11" t="str">
        <f>"63.4000"</f>
        <v>63.4000</v>
      </c>
      <c r="R123" s="10" t="str">
        <f t="shared" si="95"/>
        <v>C0004363</v>
      </c>
      <c r="S123" s="14" t="str">
        <f t="shared" si="96"/>
        <v>1265.1000</v>
      </c>
      <c r="T123" s="10">
        <v>28650</v>
      </c>
      <c r="U123" s="10">
        <v>1330</v>
      </c>
      <c r="V123" s="10" t="str">
        <f t="shared" si="97"/>
        <v>Public Transport</v>
      </c>
      <c r="W123" s="10" t="str">
        <f t="shared" si="98"/>
        <v>Transport Related Expenditure</v>
      </c>
      <c r="X123" s="10" t="str">
        <f>VLOOKUP(U123,'[1]Account code lookup'!A:B,2,0)</f>
        <v>Trains, planes &amp; buses</v>
      </c>
      <c r="Z123" s="10" t="str">
        <f>"Regeneration and Housing"</f>
        <v>Regeneration and Housing</v>
      </c>
      <c r="AA123" s="10" t="str">
        <f>"Commercial Development"</f>
        <v>Commercial Development</v>
      </c>
      <c r="AB123" s="10" t="str">
        <f>"2cdb"</f>
        <v>2cdb</v>
      </c>
      <c r="AD123" s="10" t="str">
        <f>"cdb02"</f>
        <v>cdb02</v>
      </c>
      <c r="AE123" s="10" t="str">
        <f t="shared" si="89"/>
        <v>Finance &amp; Procurement / Finance</v>
      </c>
      <c r="AG123" s="10" t="str">
        <f>"28650/1330"</f>
        <v>28650/1330</v>
      </c>
      <c r="AI123" s="10" t="str">
        <f t="shared" si="99"/>
        <v>13trans</v>
      </c>
      <c r="AJ123" s="15" t="str">
        <f>"G Owens"</f>
        <v>G Owens</v>
      </c>
      <c r="AK123" s="10" t="str">
        <f t="shared" si="90"/>
        <v>Revenue</v>
      </c>
      <c r="AL123" s="10" t="str">
        <f>""</f>
        <v/>
      </c>
      <c r="AM123" s="10" t="str">
        <f>""</f>
        <v/>
      </c>
      <c r="AN123" s="10" t="str">
        <f>""</f>
        <v/>
      </c>
      <c r="AO123" s="10" t="str">
        <f>""</f>
        <v/>
      </c>
    </row>
    <row r="124" spans="1:55" s="10" customFormat="1" ht="409.6">
      <c r="A124" s="9"/>
      <c r="B124" s="16"/>
      <c r="C124" s="16"/>
      <c r="D124" s="17" t="str">
        <f>"27611"</f>
        <v>27611</v>
      </c>
      <c r="E124" s="11" t="str">
        <f>""</f>
        <v/>
      </c>
      <c r="F124" s="11" t="str">
        <f t="shared" si="100"/>
        <v>372418</v>
      </c>
      <c r="G124" s="11" t="str">
        <f t="shared" si="101"/>
        <v>2017toJAN</v>
      </c>
      <c r="H124" s="11" t="str">
        <f t="shared" si="102"/>
        <v>CRSP06B</v>
      </c>
      <c r="I124" s="11" t="str">
        <f t="shared" si="103"/>
        <v>34</v>
      </c>
      <c r="J124" s="11" t="str">
        <f t="shared" si="104"/>
        <v>Creditor</v>
      </c>
      <c r="K124" s="11" t="str">
        <f t="shared" si="91"/>
        <v>CS001252</v>
      </c>
      <c r="L124" s="10" t="str">
        <f t="shared" si="92"/>
        <v>Chiltern Railways Co Ltd</v>
      </c>
      <c r="M124" s="12" t="str">
        <f t="shared" si="93"/>
        <v>11/01/2017 00:00:00</v>
      </c>
      <c r="N124" s="12">
        <v>42746</v>
      </c>
      <c r="O124" s="10" t="str">
        <f t="shared" si="94"/>
        <v>C007407</v>
      </c>
      <c r="P124" s="13">
        <v>43</v>
      </c>
      <c r="Q124" s="11" t="str">
        <f>"43.0000"</f>
        <v>43.0000</v>
      </c>
      <c r="R124" s="10" t="str">
        <f t="shared" si="95"/>
        <v>C0004363</v>
      </c>
      <c r="S124" s="14" t="str">
        <f t="shared" si="96"/>
        <v>1265.1000</v>
      </c>
      <c r="T124" s="10">
        <v>29110</v>
      </c>
      <c r="U124" s="10">
        <v>1330</v>
      </c>
      <c r="V124" s="10" t="str">
        <f t="shared" si="97"/>
        <v>Public Transport</v>
      </c>
      <c r="W124" s="10" t="str">
        <f t="shared" si="98"/>
        <v>Transport Related Expenditure</v>
      </c>
      <c r="X124" s="10" t="str">
        <f>VLOOKUP(U124,'[1]Account code lookup'!A:B,2,0)</f>
        <v>Trains, planes &amp; buses</v>
      </c>
      <c r="Z124" s="10" t="str">
        <f>"Development Management"</f>
        <v>Development Management</v>
      </c>
      <c r="AA124" s="10" t="str">
        <f>"Strategy and Commissioning"</f>
        <v>Strategy and Commissioning</v>
      </c>
      <c r="AB124" s="10" t="str">
        <f>"4sac"</f>
        <v>4sac</v>
      </c>
      <c r="AD124" s="10" t="str">
        <f>"sac02"</f>
        <v>sac02</v>
      </c>
      <c r="AE124" s="10" t="str">
        <f t="shared" si="89"/>
        <v>Finance &amp; Procurement / Finance</v>
      </c>
      <c r="AG124" s="10" t="str">
        <f>"29110/1330"</f>
        <v>29110/1330</v>
      </c>
      <c r="AI124" s="10" t="str">
        <f t="shared" si="99"/>
        <v>13trans</v>
      </c>
      <c r="AJ124" s="15" t="str">
        <f>"B Duxbury"</f>
        <v>B Duxbury</v>
      </c>
      <c r="AK124" s="10" t="str">
        <f t="shared" si="90"/>
        <v>Revenue</v>
      </c>
      <c r="AL124" s="10" t="str">
        <f>""</f>
        <v/>
      </c>
      <c r="AM124" s="10" t="str">
        <f>""</f>
        <v/>
      </c>
      <c r="AN124" s="10" t="str">
        <f>""</f>
        <v/>
      </c>
      <c r="AO124" s="10" t="str">
        <f>""</f>
        <v/>
      </c>
      <c r="BC124" s="12"/>
    </row>
    <row r="125" spans="1:55" s="10" customFormat="1" ht="409.6">
      <c r="A125" s="9"/>
      <c r="B125" s="9"/>
      <c r="C125" s="9"/>
      <c r="D125" s="10" t="str">
        <f>"27740"</f>
        <v>27740</v>
      </c>
      <c r="E125" s="11" t="str">
        <f>""</f>
        <v/>
      </c>
      <c r="F125" s="11" t="str">
        <f t="shared" si="100"/>
        <v>372418</v>
      </c>
      <c r="G125" s="11" t="str">
        <f t="shared" si="101"/>
        <v>2017toJAN</v>
      </c>
      <c r="H125" s="11" t="str">
        <f t="shared" si="102"/>
        <v>CRSP06B</v>
      </c>
      <c r="I125" s="11" t="str">
        <f t="shared" si="103"/>
        <v>34</v>
      </c>
      <c r="J125" s="11" t="str">
        <f t="shared" si="104"/>
        <v>Creditor</v>
      </c>
      <c r="K125" s="11" t="str">
        <f t="shared" si="91"/>
        <v>CS001252</v>
      </c>
      <c r="L125" s="10" t="str">
        <f t="shared" si="92"/>
        <v>Chiltern Railways Co Ltd</v>
      </c>
      <c r="M125" s="12" t="str">
        <f t="shared" si="93"/>
        <v>11/01/2017 00:00:00</v>
      </c>
      <c r="N125" s="12">
        <v>42746</v>
      </c>
      <c r="O125" s="10" t="str">
        <f t="shared" si="94"/>
        <v>C007407</v>
      </c>
      <c r="P125" s="13">
        <v>43.9</v>
      </c>
      <c r="Q125" s="11" t="str">
        <f>"43.9000"</f>
        <v>43.9000</v>
      </c>
      <c r="R125" s="10" t="str">
        <f t="shared" si="95"/>
        <v>C0004363</v>
      </c>
      <c r="S125" s="14" t="str">
        <f t="shared" si="96"/>
        <v>1265.1000</v>
      </c>
      <c r="T125" s="10">
        <v>29230</v>
      </c>
      <c r="U125" s="10">
        <v>1330</v>
      </c>
      <c r="V125" s="10" t="str">
        <f t="shared" si="97"/>
        <v>Public Transport</v>
      </c>
      <c r="W125" s="10" t="str">
        <f t="shared" si="98"/>
        <v>Transport Related Expenditure</v>
      </c>
      <c r="X125" s="10" t="str">
        <f>VLOOKUP(U125,'[1]Account code lookup'!A:B,2,0)</f>
        <v>Trains, planes &amp; buses</v>
      </c>
      <c r="Z125" s="10" t="str">
        <f>"Bicester Regeneration Projects"</f>
        <v>Bicester Regeneration Projects</v>
      </c>
      <c r="AA125" s="10" t="str">
        <f>"Commercial Development"</f>
        <v>Commercial Development</v>
      </c>
      <c r="AB125" s="10" t="str">
        <f>"2cdb"</f>
        <v>2cdb</v>
      </c>
      <c r="AD125" s="10" t="str">
        <f>"cdb01"</f>
        <v>cdb01</v>
      </c>
      <c r="AE125" s="10" t="str">
        <f t="shared" si="89"/>
        <v>Finance &amp; Procurement / Finance</v>
      </c>
      <c r="AG125" s="10" t="str">
        <f>"29230/1330"</f>
        <v>29230/1330</v>
      </c>
      <c r="AI125" s="10" t="str">
        <f t="shared" si="99"/>
        <v>13trans</v>
      </c>
      <c r="AJ125" s="15" t="str">
        <f>"C Clapson"</f>
        <v>C Clapson</v>
      </c>
      <c r="AK125" s="10" t="str">
        <f t="shared" si="90"/>
        <v>Revenue</v>
      </c>
      <c r="AL125" s="10" t="str">
        <f>""</f>
        <v/>
      </c>
      <c r="AM125" s="10" t="str">
        <f>""</f>
        <v/>
      </c>
      <c r="AN125" s="10" t="str">
        <f>""</f>
        <v/>
      </c>
      <c r="AO125" s="10" t="str">
        <f>""</f>
        <v/>
      </c>
    </row>
    <row r="126" spans="1:55" s="10" customFormat="1" ht="409.6">
      <c r="A126" s="9"/>
      <c r="B126" s="9"/>
      <c r="C126" s="9"/>
      <c r="D126" s="10" t="str">
        <f>"27899"</f>
        <v>27899</v>
      </c>
      <c r="E126" s="11" t="str">
        <f>""</f>
        <v/>
      </c>
      <c r="F126" s="11" t="str">
        <f t="shared" si="100"/>
        <v>372418</v>
      </c>
      <c r="G126" s="11" t="str">
        <f t="shared" si="101"/>
        <v>2017toJAN</v>
      </c>
      <c r="H126" s="11" t="str">
        <f t="shared" si="102"/>
        <v>CRSP06B</v>
      </c>
      <c r="I126" s="11" t="str">
        <f t="shared" si="103"/>
        <v>34</v>
      </c>
      <c r="J126" s="11" t="str">
        <f t="shared" si="104"/>
        <v>Creditor</v>
      </c>
      <c r="K126" s="11" t="str">
        <f t="shared" si="91"/>
        <v>CS001252</v>
      </c>
      <c r="L126" s="10" t="str">
        <f t="shared" si="92"/>
        <v>Chiltern Railways Co Ltd</v>
      </c>
      <c r="M126" s="12" t="str">
        <f t="shared" si="93"/>
        <v>11/01/2017 00:00:00</v>
      </c>
      <c r="N126" s="12">
        <v>42746</v>
      </c>
      <c r="O126" s="10" t="str">
        <f t="shared" si="94"/>
        <v>C007407</v>
      </c>
      <c r="P126" s="13">
        <v>143.4</v>
      </c>
      <c r="Q126" s="11" t="str">
        <f>"143.4000"</f>
        <v>143.4000</v>
      </c>
      <c r="R126" s="10" t="str">
        <f t="shared" si="95"/>
        <v>C0004363</v>
      </c>
      <c r="S126" s="14" t="str">
        <f t="shared" si="96"/>
        <v>1265.1000</v>
      </c>
      <c r="T126" s="10">
        <v>29600</v>
      </c>
      <c r="U126" s="10">
        <v>1330</v>
      </c>
      <c r="V126" s="10" t="str">
        <f t="shared" si="97"/>
        <v>Public Transport</v>
      </c>
      <c r="W126" s="10" t="str">
        <f t="shared" si="98"/>
        <v>Transport Related Expenditure</v>
      </c>
      <c r="X126" s="10" t="str">
        <f>VLOOKUP(U126,'[1]Account code lookup'!A:B,2,0)</f>
        <v>Trains, planes &amp; buses</v>
      </c>
      <c r="Z126" s="10" t="str">
        <f>"Strategic Planning Economy"</f>
        <v>Strategic Planning Economy</v>
      </c>
      <c r="AA126" s="10" t="str">
        <f>"Strategy and Commissioning"</f>
        <v>Strategy and Commissioning</v>
      </c>
      <c r="AB126" s="10" t="str">
        <f>"4sac"</f>
        <v>4sac</v>
      </c>
      <c r="AD126" s="10" t="str">
        <f>"sac01"</f>
        <v>sac01</v>
      </c>
      <c r="AE126" s="10" t="str">
        <f t="shared" si="89"/>
        <v>Finance &amp; Procurement / Finance</v>
      </c>
      <c r="AG126" s="10" t="str">
        <f>"29600/1330"</f>
        <v>29600/1330</v>
      </c>
      <c r="AI126" s="10" t="str">
        <f t="shared" si="99"/>
        <v>13trans</v>
      </c>
      <c r="AJ126" s="15" t="str">
        <f>"J Aratoon"</f>
        <v>J Aratoon</v>
      </c>
      <c r="AK126" s="10" t="str">
        <f t="shared" si="90"/>
        <v>Revenue</v>
      </c>
      <c r="AL126" s="10" t="str">
        <f>""</f>
        <v/>
      </c>
      <c r="AM126" s="10" t="str">
        <f>""</f>
        <v/>
      </c>
      <c r="AN126" s="10" t="str">
        <f>""</f>
        <v/>
      </c>
      <c r="AO126" s="10" t="str">
        <f>""</f>
        <v/>
      </c>
    </row>
    <row r="127" spans="1:55" s="10" customFormat="1" ht="409.6">
      <c r="A127" s="9"/>
      <c r="B127" s="9"/>
      <c r="C127" s="9"/>
      <c r="D127" s="10" t="str">
        <f>"27900"</f>
        <v>27900</v>
      </c>
      <c r="E127" s="11" t="str">
        <f>""</f>
        <v/>
      </c>
      <c r="F127" s="11" t="str">
        <f t="shared" si="100"/>
        <v>372418</v>
      </c>
      <c r="G127" s="11" t="str">
        <f t="shared" si="101"/>
        <v>2017toJAN</v>
      </c>
      <c r="H127" s="11" t="str">
        <f t="shared" si="102"/>
        <v>CRSP06B</v>
      </c>
      <c r="I127" s="11" t="str">
        <f t="shared" si="103"/>
        <v>34</v>
      </c>
      <c r="J127" s="11" t="str">
        <f t="shared" si="104"/>
        <v>Creditor</v>
      </c>
      <c r="K127" s="11" t="str">
        <f>"CS001221"</f>
        <v>CS001221</v>
      </c>
      <c r="L127" s="10" t="str">
        <f>"Cleansing Service Group Ltd"</f>
        <v>Cleansing Service Group Ltd</v>
      </c>
      <c r="M127" s="12" t="str">
        <f t="shared" si="93"/>
        <v>11/01/2017 00:00:00</v>
      </c>
      <c r="N127" s="12">
        <v>42746</v>
      </c>
      <c r="O127" s="10" t="str">
        <f>"C007177"</f>
        <v>C007177</v>
      </c>
      <c r="P127" s="13">
        <v>1437.74</v>
      </c>
      <c r="Q127" s="11" t="str">
        <f>"1437.7400"</f>
        <v>1437.7400</v>
      </c>
      <c r="R127" s="10" t="str">
        <f>"C0004362"</f>
        <v>C0004362</v>
      </c>
      <c r="S127" s="14" t="str">
        <f>"1725.2900"</f>
        <v>1725.2900</v>
      </c>
      <c r="T127" s="10">
        <v>21714</v>
      </c>
      <c r="U127" s="10">
        <v>1252</v>
      </c>
      <c r="V127" s="10" t="str">
        <f>"Water services"</f>
        <v>Water services</v>
      </c>
      <c r="W127" s="10" t="str">
        <f>"Premises Related Expenditure"</f>
        <v>Premises Related Expenditure</v>
      </c>
      <c r="X127" s="10" t="str">
        <f>VLOOKUP(U127,'[1]Account code lookup'!A:B,2,0)</f>
        <v>Sewerage &amp; Environmental Charges</v>
      </c>
      <c r="Z127" s="10" t="str">
        <f>"Regeneration and Housing"</f>
        <v>Regeneration and Housing</v>
      </c>
      <c r="AA127" s="10" t="str">
        <f>"Commercial Development"</f>
        <v>Commercial Development</v>
      </c>
      <c r="AB127" s="10" t="str">
        <f>"2cdb"</f>
        <v>2cdb</v>
      </c>
      <c r="AD127" s="10" t="str">
        <f>"cdb02"</f>
        <v>cdb02</v>
      </c>
      <c r="AE127" s="10" t="str">
        <f t="shared" si="89"/>
        <v>Finance &amp; Procurement / Finance</v>
      </c>
      <c r="AG127" s="10" t="str">
        <f>"21714/1252"</f>
        <v>21714/1252</v>
      </c>
      <c r="AI127" s="10" t="str">
        <f>"12prem"</f>
        <v>12prem</v>
      </c>
      <c r="AJ127" s="15" t="str">
        <f>"THORPE LANE DEPOT_x000D_
_x000D_
Date	28/10/16_x000D_
Thorpe Lane_x000D_
	2000 gallons	227.00	614.00	396.74	175.00	25.00	Liquids at 12%, + 1.66 tonne solids. 2 ½ hrs demurrage_x000D_
											_x000D_
											"</f>
        <v xml:space="preserve">THORPE LANE DEPOT_x000D_
_x000D_
Date	28/10/16_x000D_
Thorpe Lane_x000D_
	2000 gallons	227.00	614.00	396.74	175.00	25.00	Liquids at 12%, + 1.66 tonne solids. 2 ½ hrs demurrage_x000D_
											_x000D_
											</v>
      </c>
      <c r="AK127" s="10" t="str">
        <f t="shared" si="90"/>
        <v>Revenue</v>
      </c>
      <c r="AL127" s="10" t="str">
        <f>""</f>
        <v/>
      </c>
      <c r="AM127" s="10" t="str">
        <f>""</f>
        <v/>
      </c>
      <c r="AN127" s="10" t="str">
        <f>""</f>
        <v/>
      </c>
      <c r="AO127" s="10" t="str">
        <f>""</f>
        <v/>
      </c>
    </row>
    <row r="128" spans="1:55" s="10" customFormat="1" ht="409.6">
      <c r="A128" s="9"/>
      <c r="B128" s="9"/>
      <c r="C128" s="9"/>
      <c r="D128" s="10" t="str">
        <f>"28045"</f>
        <v>28045</v>
      </c>
      <c r="E128" s="11" t="str">
        <f>""</f>
        <v/>
      </c>
      <c r="F128" s="11" t="str">
        <f t="shared" si="100"/>
        <v>372418</v>
      </c>
      <c r="G128" s="11" t="str">
        <f t="shared" si="101"/>
        <v>2017toJAN</v>
      </c>
      <c r="H128" s="11" t="str">
        <f t="shared" si="102"/>
        <v>CRSP06B</v>
      </c>
      <c r="I128" s="11" t="str">
        <f t="shared" si="103"/>
        <v>34</v>
      </c>
      <c r="J128" s="11" t="str">
        <f t="shared" si="104"/>
        <v>Creditor</v>
      </c>
      <c r="K128" s="11" t="str">
        <f>"CS001221"</f>
        <v>CS001221</v>
      </c>
      <c r="L128" s="10" t="str">
        <f>"Cleansing Service Group Ltd"</f>
        <v>Cleansing Service Group Ltd</v>
      </c>
      <c r="M128" s="12" t="str">
        <f>"27/01/2017 00:00:00"</f>
        <v>27/01/2017 00:00:00</v>
      </c>
      <c r="N128" s="12">
        <v>42762</v>
      </c>
      <c r="O128" s="10" t="str">
        <f>"C007651"</f>
        <v>C007651</v>
      </c>
      <c r="P128" s="13">
        <v>1502.47</v>
      </c>
      <c r="Q128" s="11" t="str">
        <f>"1502.4700"</f>
        <v>1502.4700</v>
      </c>
      <c r="R128" s="10" t="str">
        <f>"C0004599"</f>
        <v>C0004599</v>
      </c>
      <c r="S128" s="14" t="str">
        <f>"2680.5200"</f>
        <v>2680.5200</v>
      </c>
      <c r="T128" s="10">
        <v>21714</v>
      </c>
      <c r="U128" s="10">
        <v>1252</v>
      </c>
      <c r="V128" s="10" t="str">
        <f>"Water services"</f>
        <v>Water services</v>
      </c>
      <c r="W128" s="10" t="str">
        <f>"Premises Related Expenditure"</f>
        <v>Premises Related Expenditure</v>
      </c>
      <c r="X128" s="10" t="str">
        <f>VLOOKUP(U128,'[1]Account code lookup'!A:B,2,0)</f>
        <v>Sewerage &amp; Environmental Charges</v>
      </c>
      <c r="Z128" s="10" t="str">
        <f>"Regeneration and Housing"</f>
        <v>Regeneration and Housing</v>
      </c>
      <c r="AA128" s="10" t="str">
        <f>"Commercial Development"</f>
        <v>Commercial Development</v>
      </c>
      <c r="AB128" s="10" t="str">
        <f>"2cdb"</f>
        <v>2cdb</v>
      </c>
      <c r="AD128" s="10" t="str">
        <f>"cdb02"</f>
        <v>cdb02</v>
      </c>
      <c r="AE128" s="10" t="str">
        <f t="shared" si="89"/>
        <v>Finance &amp; Procurement / Finance</v>
      </c>
      <c r="AG128" s="10" t="str">
        <f>"21714/1252"</f>
        <v>21714/1252</v>
      </c>
      <c r="AI128" s="10" t="str">
        <f>"12prem"</f>
        <v>12prem</v>
      </c>
      <c r="AJ128" s="15" t="str">
        <f>"THORPE LANE DEPOT_x000D_
_x000D_
Clearance carried out 29/12/16_x000D_
_x000D_
Ticket	Time on site	Time off site	Volume	Transport charge	_x000D_
50638	1000	                           1245	                       3000 gallons	227.00_x000D_
           Liquid disposal charge	Solid disposal char"</f>
        <v>THORPE LANE DEPOT_x000D_
_x000D_
Clearance carried out 29/12/16_x000D_
_x000D_
Ticket	Time on site	Time off site	Volume	Transport charge	_x000D_
50638	1000	                           1245	                       3000 gallons	227.00_x000D_
           Liquid disposal charge	Solid disposal char</v>
      </c>
      <c r="AK128" s="10" t="str">
        <f t="shared" si="90"/>
        <v>Revenue</v>
      </c>
      <c r="AL128" s="10" t="str">
        <f>""</f>
        <v/>
      </c>
      <c r="AM128" s="10" t="str">
        <f>""</f>
        <v/>
      </c>
      <c r="AN128" s="10" t="str">
        <f>""</f>
        <v/>
      </c>
      <c r="AO128" s="10" t="str">
        <f>""</f>
        <v/>
      </c>
    </row>
    <row r="129" spans="1:41" s="10" customFormat="1" ht="409.6">
      <c r="A129" s="9"/>
      <c r="B129" s="9"/>
      <c r="C129" s="9"/>
      <c r="D129" s="10" t="str">
        <f>"28046"</f>
        <v>28046</v>
      </c>
      <c r="E129" s="11" t="str">
        <f>""</f>
        <v/>
      </c>
      <c r="F129" s="11" t="str">
        <f t="shared" si="100"/>
        <v>372418</v>
      </c>
      <c r="G129" s="11" t="str">
        <f t="shared" si="101"/>
        <v>2017toJAN</v>
      </c>
      <c r="H129" s="11" t="str">
        <f t="shared" si="102"/>
        <v>CRSP06B</v>
      </c>
      <c r="I129" s="11" t="str">
        <f t="shared" si="103"/>
        <v>34</v>
      </c>
      <c r="J129" s="11" t="str">
        <f t="shared" si="104"/>
        <v>Creditor</v>
      </c>
      <c r="K129" s="11" t="str">
        <f>"CS001221"</f>
        <v>CS001221</v>
      </c>
      <c r="L129" s="10" t="str">
        <f>"Cleansing Service Group Ltd"</f>
        <v>Cleansing Service Group Ltd</v>
      </c>
      <c r="M129" s="12" t="str">
        <f>"27/01/2017 00:00:00"</f>
        <v>27/01/2017 00:00:00</v>
      </c>
      <c r="N129" s="12">
        <v>42762</v>
      </c>
      <c r="O129" s="10" t="str">
        <f>"C007650"</f>
        <v>C007650</v>
      </c>
      <c r="P129" s="13">
        <v>731.3</v>
      </c>
      <c r="Q129" s="11" t="str">
        <f>"731.3000"</f>
        <v>731.3000</v>
      </c>
      <c r="R129" s="10" t="str">
        <f>"C0004599"</f>
        <v>C0004599</v>
      </c>
      <c r="S129" s="14" t="str">
        <f>"2680.5200"</f>
        <v>2680.5200</v>
      </c>
      <c r="T129" s="10">
        <v>21715</v>
      </c>
      <c r="U129" s="10">
        <v>1252</v>
      </c>
      <c r="V129" s="10" t="str">
        <f>"Water services"</f>
        <v>Water services</v>
      </c>
      <c r="W129" s="10" t="str">
        <f>"Premises Related Expenditure"</f>
        <v>Premises Related Expenditure</v>
      </c>
      <c r="X129" s="10" t="str">
        <f>VLOOKUP(U129,'[1]Account code lookup'!A:B,2,0)</f>
        <v>Sewerage &amp; Environmental Charges</v>
      </c>
      <c r="Z129" s="10" t="str">
        <f>"Regeneration and Housing"</f>
        <v>Regeneration and Housing</v>
      </c>
      <c r="AA129" s="10" t="str">
        <f>"Commercial Development"</f>
        <v>Commercial Development</v>
      </c>
      <c r="AB129" s="10" t="str">
        <f>"2cdb"</f>
        <v>2cdb</v>
      </c>
      <c r="AD129" s="10" t="str">
        <f>"cdb02"</f>
        <v>cdb02</v>
      </c>
      <c r="AE129" s="10" t="str">
        <f t="shared" si="89"/>
        <v>Finance &amp; Procurement / Finance</v>
      </c>
      <c r="AG129" s="10" t="str">
        <f>"21715/1252"</f>
        <v>21715/1252</v>
      </c>
      <c r="AI129" s="10" t="str">
        <f>"12prem"</f>
        <v>12prem</v>
      </c>
      <c r="AJ129" s="15" t="str">
        <f>"HIGHFIELD DEPOTattend to tank clearance on 22/12/16"</f>
        <v>HIGHFIELD DEPOTattend to tank clearance on 22/12/16</v>
      </c>
      <c r="AK129" s="10" t="str">
        <f t="shared" si="90"/>
        <v>Revenue</v>
      </c>
      <c r="AL129" s="10" t="str">
        <f>""</f>
        <v/>
      </c>
      <c r="AM129" s="10" t="str">
        <f>""</f>
        <v/>
      </c>
      <c r="AN129" s="10" t="str">
        <f>""</f>
        <v/>
      </c>
      <c r="AO129" s="10" t="str">
        <f>""</f>
        <v/>
      </c>
    </row>
    <row r="130" spans="1:41" s="10" customFormat="1" ht="409.6">
      <c r="A130" s="9"/>
      <c r="B130" s="9"/>
      <c r="C130" s="9"/>
      <c r="D130" s="10" t="str">
        <f>"28047"</f>
        <v>28047</v>
      </c>
      <c r="E130" s="11" t="str">
        <f>""</f>
        <v/>
      </c>
      <c r="F130" s="11" t="str">
        <f t="shared" si="100"/>
        <v>372418</v>
      </c>
      <c r="G130" s="11" t="str">
        <f t="shared" si="101"/>
        <v>2017toJAN</v>
      </c>
      <c r="H130" s="11" t="str">
        <f t="shared" si="102"/>
        <v>CRSP06B</v>
      </c>
      <c r="I130" s="11" t="str">
        <f t="shared" si="103"/>
        <v>34</v>
      </c>
      <c r="J130" s="11" t="str">
        <f t="shared" si="104"/>
        <v>Creditor</v>
      </c>
      <c r="K130" s="11" t="str">
        <f>"CS001231"</f>
        <v>CS001231</v>
      </c>
      <c r="L130" s="10" t="str">
        <f>"Cobalt Telephone Technologies Ltd"</f>
        <v>Cobalt Telephone Technologies Ltd</v>
      </c>
      <c r="M130" s="12" t="str">
        <f>"20/01/2017 00:00:00"</f>
        <v>20/01/2017 00:00:00</v>
      </c>
      <c r="N130" s="12">
        <v>42755</v>
      </c>
      <c r="O130" s="10" t="str">
        <f>"C007898"</f>
        <v>C007898</v>
      </c>
      <c r="P130" s="13">
        <v>1808.2</v>
      </c>
      <c r="Q130" s="11" t="str">
        <f>"1808.2000"</f>
        <v>1808.2000</v>
      </c>
      <c r="R130" s="10" t="str">
        <f>"C0004497"</f>
        <v>C0004497</v>
      </c>
      <c r="S130" s="14" t="str">
        <f>"2169.8400"</f>
        <v>2169.8400</v>
      </c>
      <c r="T130" s="10">
        <v>27010</v>
      </c>
      <c r="U130" s="10">
        <v>1720</v>
      </c>
      <c r="V130" s="10" t="str">
        <f>"Private Contractors"</f>
        <v>Private Contractors</v>
      </c>
      <c r="W130" s="10" t="str">
        <f>"Third Party Payments"</f>
        <v>Third Party Payments</v>
      </c>
      <c r="X130" s="10" t="str">
        <f>VLOOKUP(U130,'[1]Account code lookup'!A:B,2,0)</f>
        <v>Contractor Revenue Payments</v>
      </c>
      <c r="Z130" s="10" t="str">
        <f>"Community Services"</f>
        <v>Community Services</v>
      </c>
      <c r="AA130" s="10" t="str">
        <f>"Operations and Delivery"</f>
        <v>Operations and Delivery</v>
      </c>
      <c r="AB130" s="10" t="str">
        <f>"5oad"</f>
        <v>5oad</v>
      </c>
      <c r="AD130" s="10" t="str">
        <f>"oad01"</f>
        <v>oad01</v>
      </c>
      <c r="AE130" s="10" t="str">
        <f>"Community Services / Parking Services"</f>
        <v>Community Services / Parking Services</v>
      </c>
      <c r="AG130" s="10" t="str">
        <f>"27010/1720"</f>
        <v>27010/1720</v>
      </c>
      <c r="AI130" s="10" t="str">
        <f>"17tpp"</f>
        <v>17tpp</v>
      </c>
      <c r="AJ130" s="15" t="str">
        <f>""</f>
        <v/>
      </c>
      <c r="AK130" s="10" t="str">
        <f t="shared" si="90"/>
        <v>Revenue</v>
      </c>
      <c r="AL130" s="10" t="str">
        <f>""</f>
        <v/>
      </c>
      <c r="AM130" s="10" t="str">
        <f>""</f>
        <v/>
      </c>
      <c r="AN130" s="10" t="str">
        <f>""</f>
        <v/>
      </c>
      <c r="AO130" s="10" t="str">
        <f>""</f>
        <v/>
      </c>
    </row>
    <row r="131" spans="1:41" s="10" customFormat="1" ht="409.6">
      <c r="A131" s="9"/>
      <c r="B131" s="9"/>
      <c r="C131" s="9"/>
      <c r="D131" s="10" t="str">
        <f>"28075"</f>
        <v>28075</v>
      </c>
      <c r="E131" s="11" t="str">
        <f>""</f>
        <v/>
      </c>
      <c r="F131" s="11" t="str">
        <f t="shared" si="100"/>
        <v>372418</v>
      </c>
      <c r="G131" s="11" t="str">
        <f t="shared" si="101"/>
        <v>2017toJAN</v>
      </c>
      <c r="H131" s="11" t="str">
        <f t="shared" si="102"/>
        <v>CRSP06B</v>
      </c>
      <c r="I131" s="11" t="str">
        <f t="shared" si="103"/>
        <v>34</v>
      </c>
      <c r="J131" s="11" t="str">
        <f t="shared" si="104"/>
        <v>Creditor</v>
      </c>
      <c r="K131" s="11" t="str">
        <f>"CS001136"</f>
        <v>CS001136</v>
      </c>
      <c r="L131" s="10" t="str">
        <f>"Cognitive Network Solutions Ltd"</f>
        <v>Cognitive Network Solutions Ltd</v>
      </c>
      <c r="M131" s="12" t="str">
        <f>"18/01/2017 00:00:00"</f>
        <v>18/01/2017 00:00:00</v>
      </c>
      <c r="N131" s="12">
        <v>42753</v>
      </c>
      <c r="O131" s="10" t="str">
        <f>"C007496"</f>
        <v>C007496</v>
      </c>
      <c r="P131" s="13">
        <v>134.55000000000001</v>
      </c>
      <c r="Q131" s="11" t="str">
        <f>"134.5500"</f>
        <v>134.5500</v>
      </c>
      <c r="R131" s="10" t="str">
        <f>"C0004475"</f>
        <v>C0004475</v>
      </c>
      <c r="S131" s="14" t="str">
        <f>"3035.3900"</f>
        <v>3035.3900</v>
      </c>
      <c r="T131" s="10">
        <v>21733</v>
      </c>
      <c r="U131" s="10">
        <v>1516</v>
      </c>
      <c r="V131" s="10" t="str">
        <f>"Communications and computing"</f>
        <v>Communications and computing</v>
      </c>
      <c r="W131" s="10" t="str">
        <f>"Supplies and Services"</f>
        <v>Supplies and Services</v>
      </c>
      <c r="X131" s="10" t="str">
        <f>VLOOKUP(U131,'[1]Account code lookup'!A:B,2,0)</f>
        <v>Computer Software, Licensing &amp; Maintenan</v>
      </c>
      <c r="Z131" s="10" t="str">
        <f>"Information Services"</f>
        <v>Information Services</v>
      </c>
      <c r="AA131" s="10" t="str">
        <f t="shared" ref="AA131:AA137" si="105">"Commercial Development"</f>
        <v>Commercial Development</v>
      </c>
      <c r="AB131" s="10" t="str">
        <f t="shared" ref="AB131:AB137" si="106">"2cdb"</f>
        <v>2cdb</v>
      </c>
      <c r="AD131" s="10" t="str">
        <f>"cdb04"</f>
        <v>cdb04</v>
      </c>
      <c r="AE131" s="10" t="str">
        <f t="shared" ref="AE131:AE136" si="107">"Finance &amp; Procurement / Finance"</f>
        <v>Finance &amp; Procurement / Finance</v>
      </c>
      <c r="AG131" s="10" t="str">
        <f>"21733/1516"</f>
        <v>21733/1516</v>
      </c>
      <c r="AI131" s="10" t="str">
        <f>"14suse"</f>
        <v>14suse</v>
      </c>
      <c r="AJ131" s="15" t="str">
        <f>"BASIC 12 MONTHS RENEWAL FOR NETBACKUP CLIENT APPLICATION AND DB PACK WLS 1 SERVER HARDWARE TIER 2 ONPREMISE STANDARD PERPETUAL LICENSE GOV_x000D_
VENDOR SKU : 13102-M3-13"</f>
        <v>BASIC 12 MONTHS RENEWAL FOR NETBACKUP CLIENT APPLICATION AND DB PACK WLS 1 SERVER HARDWARE TIER 2 ONPREMISE STANDARD PERPETUAL LICENSE GOV_x000D_
VENDOR SKU : 13102-M3-13</v>
      </c>
      <c r="AK131" s="10" t="str">
        <f t="shared" si="90"/>
        <v>Revenue</v>
      </c>
      <c r="AL131" s="10" t="str">
        <f>""</f>
        <v/>
      </c>
      <c r="AM131" s="10" t="str">
        <f>""</f>
        <v/>
      </c>
      <c r="AN131" s="10" t="str">
        <f>""</f>
        <v/>
      </c>
      <c r="AO131" s="10" t="str">
        <f>""</f>
        <v/>
      </c>
    </row>
    <row r="132" spans="1:41" s="10" customFormat="1" ht="409.6">
      <c r="A132" s="9"/>
      <c r="B132" s="9"/>
      <c r="C132" s="9"/>
      <c r="D132" s="10" t="str">
        <f>"28196"</f>
        <v>28196</v>
      </c>
      <c r="E132" s="11" t="str">
        <f>""</f>
        <v/>
      </c>
      <c r="F132" s="11" t="str">
        <f t="shared" si="100"/>
        <v>372418</v>
      </c>
      <c r="G132" s="11" t="str">
        <f t="shared" si="101"/>
        <v>2017toJAN</v>
      </c>
      <c r="H132" s="11" t="str">
        <f t="shared" si="102"/>
        <v>CRSP06B</v>
      </c>
      <c r="I132" s="11" t="str">
        <f t="shared" si="103"/>
        <v>34</v>
      </c>
      <c r="J132" s="11" t="str">
        <f t="shared" si="104"/>
        <v>Creditor</v>
      </c>
      <c r="K132" s="11" t="str">
        <f>"CS001136"</f>
        <v>CS001136</v>
      </c>
      <c r="L132" s="10" t="str">
        <f>"Cognitive Network Solutions Ltd"</f>
        <v>Cognitive Network Solutions Ltd</v>
      </c>
      <c r="M132" s="12" t="str">
        <f>"18/01/2017 00:00:00"</f>
        <v>18/01/2017 00:00:00</v>
      </c>
      <c r="N132" s="12">
        <v>42753</v>
      </c>
      <c r="O132" s="10" t="str">
        <f>"C007496"</f>
        <v>C007496</v>
      </c>
      <c r="P132" s="13">
        <v>246.67</v>
      </c>
      <c r="Q132" s="11" t="str">
        <f>"246.6700"</f>
        <v>246.6700</v>
      </c>
      <c r="R132" s="10" t="str">
        <f>"C0004475"</f>
        <v>C0004475</v>
      </c>
      <c r="S132" s="14" t="str">
        <f>"3035.3900"</f>
        <v>3035.3900</v>
      </c>
      <c r="T132" s="10">
        <v>21733</v>
      </c>
      <c r="U132" s="10">
        <v>1516</v>
      </c>
      <c r="V132" s="10" t="str">
        <f>"Communications and computing"</f>
        <v>Communications and computing</v>
      </c>
      <c r="W132" s="10" t="str">
        <f>"Supplies and Services"</f>
        <v>Supplies and Services</v>
      </c>
      <c r="X132" s="10" t="str">
        <f>VLOOKUP(U132,'[1]Account code lookup'!A:B,2,0)</f>
        <v>Computer Software, Licensing &amp; Maintenan</v>
      </c>
      <c r="Z132" s="10" t="str">
        <f>"Information Services"</f>
        <v>Information Services</v>
      </c>
      <c r="AA132" s="10" t="str">
        <f t="shared" si="105"/>
        <v>Commercial Development</v>
      </c>
      <c r="AB132" s="10" t="str">
        <f t="shared" si="106"/>
        <v>2cdb</v>
      </c>
      <c r="AD132" s="10" t="str">
        <f>"cdb04"</f>
        <v>cdb04</v>
      </c>
      <c r="AE132" s="10" t="str">
        <f t="shared" si="107"/>
        <v>Finance &amp; Procurement / Finance</v>
      </c>
      <c r="AG132" s="10" t="str">
        <f>"21733/1516"</f>
        <v>21733/1516</v>
      </c>
      <c r="AI132" s="10" t="str">
        <f>"14suse"</f>
        <v>14suse</v>
      </c>
      <c r="AJ132" s="15" t="str">
        <f>"BASIC 12 MONTHS RENEWAL FOR NETBACKUP ENT CLIENT WLS 1 SERVER HARDWARE TIER 2 ONPREMISE STANDARD PERPETUAL LICENSE GOV _x000D_
VENDOR SKU:  14731-M3-13"</f>
        <v>BASIC 12 MONTHS RENEWAL FOR NETBACKUP ENT CLIENT WLS 1 SERVER HARDWARE TIER 2 ONPREMISE STANDARD PERPETUAL LICENSE GOV _x000D_
VENDOR SKU:  14731-M3-13</v>
      </c>
      <c r="AK132" s="10" t="str">
        <f t="shared" si="90"/>
        <v>Revenue</v>
      </c>
      <c r="AL132" s="10" t="str">
        <f>""</f>
        <v/>
      </c>
      <c r="AM132" s="10" t="str">
        <f>""</f>
        <v/>
      </c>
      <c r="AN132" s="10" t="str">
        <f>""</f>
        <v/>
      </c>
      <c r="AO132" s="10" t="str">
        <f>""</f>
        <v/>
      </c>
    </row>
    <row r="133" spans="1:41" s="10" customFormat="1" ht="409.6">
      <c r="A133" s="9"/>
      <c r="B133" s="9"/>
      <c r="C133" s="9"/>
      <c r="D133" s="10" t="str">
        <f>"28503"</f>
        <v>28503</v>
      </c>
      <c r="E133" s="11" t="str">
        <f>""</f>
        <v/>
      </c>
      <c r="F133" s="11" t="str">
        <f t="shared" si="100"/>
        <v>372418</v>
      </c>
      <c r="G133" s="11" t="str">
        <f t="shared" si="101"/>
        <v>2017toJAN</v>
      </c>
      <c r="H133" s="11" t="str">
        <f t="shared" si="102"/>
        <v>CRSP06B</v>
      </c>
      <c r="I133" s="11" t="str">
        <f t="shared" si="103"/>
        <v>34</v>
      </c>
      <c r="J133" s="11" t="str">
        <f t="shared" si="104"/>
        <v>Creditor</v>
      </c>
      <c r="K133" s="11" t="str">
        <f>"CS001136"</f>
        <v>CS001136</v>
      </c>
      <c r="L133" s="10" t="str">
        <f>"Cognitive Network Solutions Ltd"</f>
        <v>Cognitive Network Solutions Ltd</v>
      </c>
      <c r="M133" s="12" t="str">
        <f>"18/01/2017 00:00:00"</f>
        <v>18/01/2017 00:00:00</v>
      </c>
      <c r="N133" s="12">
        <v>42753</v>
      </c>
      <c r="O133" s="10" t="str">
        <f>"C007496"</f>
        <v>C007496</v>
      </c>
      <c r="P133" s="13">
        <v>636.87</v>
      </c>
      <c r="Q133" s="11" t="str">
        <f>"636.8700"</f>
        <v>636.8700</v>
      </c>
      <c r="R133" s="10" t="str">
        <f>"C0004475"</f>
        <v>C0004475</v>
      </c>
      <c r="S133" s="14" t="str">
        <f>"3035.3900"</f>
        <v>3035.3900</v>
      </c>
      <c r="T133" s="10">
        <v>21733</v>
      </c>
      <c r="U133" s="10">
        <v>1516</v>
      </c>
      <c r="V133" s="10" t="str">
        <f>"Communications and computing"</f>
        <v>Communications and computing</v>
      </c>
      <c r="W133" s="10" t="str">
        <f>"Supplies and Services"</f>
        <v>Supplies and Services</v>
      </c>
      <c r="X133" s="10" t="str">
        <f>VLOOKUP(U133,'[1]Account code lookup'!A:B,2,0)</f>
        <v>Computer Software, Licensing &amp; Maintenan</v>
      </c>
      <c r="Z133" s="10" t="str">
        <f>"Information Services"</f>
        <v>Information Services</v>
      </c>
      <c r="AA133" s="10" t="str">
        <f t="shared" si="105"/>
        <v>Commercial Development</v>
      </c>
      <c r="AB133" s="10" t="str">
        <f t="shared" si="106"/>
        <v>2cdb</v>
      </c>
      <c r="AD133" s="10" t="str">
        <f>"cdb04"</f>
        <v>cdb04</v>
      </c>
      <c r="AE133" s="10" t="str">
        <f t="shared" si="107"/>
        <v>Finance &amp; Procurement / Finance</v>
      </c>
      <c r="AG133" s="10" t="str">
        <f>"21733/1516"</f>
        <v>21733/1516</v>
      </c>
      <c r="AI133" s="10" t="str">
        <f>"14suse"</f>
        <v>14suse</v>
      </c>
      <c r="AJ133" s="15" t="str">
        <f>"BASIC 12 MONTHS RENEWAL FOR NETBACKUP ENT SERVER WLS 1 SERVER HARDWARE TIER 3 ONPREMISE STANDARD PERPETUAL LICENSE GOV _x000D_
VENDOR SKU: 12258-M3-13"</f>
        <v>BASIC 12 MONTHS RENEWAL FOR NETBACKUP ENT SERVER WLS 1 SERVER HARDWARE TIER 3 ONPREMISE STANDARD PERPETUAL LICENSE GOV _x000D_
VENDOR SKU: 12258-M3-13</v>
      </c>
      <c r="AK133" s="10" t="str">
        <f t="shared" si="90"/>
        <v>Revenue</v>
      </c>
      <c r="AL133" s="10" t="str">
        <f>""</f>
        <v/>
      </c>
      <c r="AM133" s="10" t="str">
        <f>""</f>
        <v/>
      </c>
      <c r="AN133" s="10" t="str">
        <f>""</f>
        <v/>
      </c>
      <c r="AO133" s="10" t="str">
        <f>""</f>
        <v/>
      </c>
    </row>
    <row r="134" spans="1:41" s="10" customFormat="1" ht="409.6">
      <c r="A134" s="9"/>
      <c r="B134" s="9"/>
      <c r="C134" s="9"/>
      <c r="D134" s="10" t="str">
        <f>"28622"</f>
        <v>28622</v>
      </c>
      <c r="E134" s="11" t="str">
        <f>""</f>
        <v/>
      </c>
      <c r="F134" s="11" t="str">
        <f t="shared" si="100"/>
        <v>372418</v>
      </c>
      <c r="G134" s="11" t="str">
        <f t="shared" si="101"/>
        <v>2017toJAN</v>
      </c>
      <c r="H134" s="11" t="str">
        <f t="shared" si="102"/>
        <v>CRSP06B</v>
      </c>
      <c r="I134" s="11" t="str">
        <f t="shared" si="103"/>
        <v>34</v>
      </c>
      <c r="J134" s="11" t="str">
        <f t="shared" si="104"/>
        <v>Creditor</v>
      </c>
      <c r="K134" s="11" t="str">
        <f>"CS001136"</f>
        <v>CS001136</v>
      </c>
      <c r="L134" s="10" t="str">
        <f>"Cognitive Network Solutions Ltd"</f>
        <v>Cognitive Network Solutions Ltd</v>
      </c>
      <c r="M134" s="12" t="str">
        <f>"18/01/2017 00:00:00"</f>
        <v>18/01/2017 00:00:00</v>
      </c>
      <c r="N134" s="12">
        <v>42753</v>
      </c>
      <c r="O134" s="10" t="str">
        <f>"C007496"</f>
        <v>C007496</v>
      </c>
      <c r="P134" s="13">
        <v>475.42</v>
      </c>
      <c r="Q134" s="11" t="str">
        <f>"475.4200"</f>
        <v>475.4200</v>
      </c>
      <c r="R134" s="10" t="str">
        <f>"C0004475"</f>
        <v>C0004475</v>
      </c>
      <c r="S134" s="14" t="str">
        <f>"3035.3900"</f>
        <v>3035.3900</v>
      </c>
      <c r="T134" s="10">
        <v>21733</v>
      </c>
      <c r="U134" s="10">
        <v>1516</v>
      </c>
      <c r="V134" s="10" t="str">
        <f>"Communications and computing"</f>
        <v>Communications and computing</v>
      </c>
      <c r="W134" s="10" t="str">
        <f>"Supplies and Services"</f>
        <v>Supplies and Services</v>
      </c>
      <c r="X134" s="10" t="str">
        <f>VLOOKUP(U134,'[1]Account code lookup'!A:B,2,0)</f>
        <v>Computer Software, Licensing &amp; Maintenan</v>
      </c>
      <c r="Z134" s="10" t="str">
        <f>"Information Services"</f>
        <v>Information Services</v>
      </c>
      <c r="AA134" s="10" t="str">
        <f t="shared" si="105"/>
        <v>Commercial Development</v>
      </c>
      <c r="AB134" s="10" t="str">
        <f t="shared" si="106"/>
        <v>2cdb</v>
      </c>
      <c r="AD134" s="10" t="str">
        <f>"cdb04"</f>
        <v>cdb04</v>
      </c>
      <c r="AE134" s="10" t="str">
        <f t="shared" si="107"/>
        <v>Finance &amp; Procurement / Finance</v>
      </c>
      <c r="AG134" s="10" t="str">
        <f>"21733/1516"</f>
        <v>21733/1516</v>
      </c>
      <c r="AI134" s="10" t="str">
        <f>"14suse"</f>
        <v>14suse</v>
      </c>
      <c r="AJ134" s="15" t="str">
        <f>"BASIC 12 MONTHS RENEWAL FOR NETBACKUP OPT LIBRARY BASED TAPE DRIVE XPLAT 1 DRIVE ONPREMISE STANDARD PERPETUAL LICENSE GOV _x000D_
VENDOR SKU: 11142-M3-13"</f>
        <v>BASIC 12 MONTHS RENEWAL FOR NETBACKUP OPT LIBRARY BASED TAPE DRIVE XPLAT 1 DRIVE ONPREMISE STANDARD PERPETUAL LICENSE GOV _x000D_
VENDOR SKU: 11142-M3-13</v>
      </c>
      <c r="AK134" s="10" t="str">
        <f t="shared" si="90"/>
        <v>Revenue</v>
      </c>
      <c r="AL134" s="10" t="str">
        <f>""</f>
        <v/>
      </c>
      <c r="AM134" s="10" t="str">
        <f>""</f>
        <v/>
      </c>
      <c r="AN134" s="10" t="str">
        <f>""</f>
        <v/>
      </c>
      <c r="AO134" s="10" t="str">
        <f>""</f>
        <v/>
      </c>
    </row>
    <row r="135" spans="1:41" s="10" customFormat="1" ht="409.6">
      <c r="A135" s="9"/>
      <c r="B135" s="9"/>
      <c r="C135" s="9"/>
      <c r="D135" s="10" t="str">
        <f>"28723"</f>
        <v>28723</v>
      </c>
      <c r="E135" s="11" t="str">
        <f>""</f>
        <v/>
      </c>
      <c r="F135" s="11" t="str">
        <f t="shared" si="100"/>
        <v>372418</v>
      </c>
      <c r="G135" s="11" t="str">
        <f t="shared" si="101"/>
        <v>2017toJAN</v>
      </c>
      <c r="H135" s="11" t="str">
        <f t="shared" si="102"/>
        <v>CRSP06B</v>
      </c>
      <c r="I135" s="11" t="str">
        <f t="shared" si="103"/>
        <v>34</v>
      </c>
      <c r="J135" s="11" t="str">
        <f t="shared" si="104"/>
        <v>Creditor</v>
      </c>
      <c r="K135" s="11" t="str">
        <f>"CS001136"</f>
        <v>CS001136</v>
      </c>
      <c r="L135" s="10" t="str">
        <f>"Cognitive Network Solutions Ltd"</f>
        <v>Cognitive Network Solutions Ltd</v>
      </c>
      <c r="M135" s="12" t="str">
        <f>"18/01/2017 00:00:00"</f>
        <v>18/01/2017 00:00:00</v>
      </c>
      <c r="N135" s="12">
        <v>42753</v>
      </c>
      <c r="O135" s="10" t="str">
        <f>"C007496"</f>
        <v>C007496</v>
      </c>
      <c r="P135" s="13">
        <v>1035.98</v>
      </c>
      <c r="Q135" s="11" t="str">
        <f>"1035.9800"</f>
        <v>1035.9800</v>
      </c>
      <c r="R135" s="10" t="str">
        <f>"C0004475"</f>
        <v>C0004475</v>
      </c>
      <c r="S135" s="14" t="str">
        <f>"3035.3900"</f>
        <v>3035.3900</v>
      </c>
      <c r="T135" s="10">
        <v>21733</v>
      </c>
      <c r="U135" s="10">
        <v>1516</v>
      </c>
      <c r="V135" s="10" t="str">
        <f>"Communications and computing"</f>
        <v>Communications and computing</v>
      </c>
      <c r="W135" s="10" t="str">
        <f>"Supplies and Services"</f>
        <v>Supplies and Services</v>
      </c>
      <c r="X135" s="10" t="str">
        <f>VLOOKUP(U135,'[1]Account code lookup'!A:B,2,0)</f>
        <v>Computer Software, Licensing &amp; Maintenan</v>
      </c>
      <c r="Z135" s="10" t="str">
        <f>"Information Services"</f>
        <v>Information Services</v>
      </c>
      <c r="AA135" s="10" t="str">
        <f t="shared" si="105"/>
        <v>Commercial Development</v>
      </c>
      <c r="AB135" s="10" t="str">
        <f t="shared" si="106"/>
        <v>2cdb</v>
      </c>
      <c r="AD135" s="10" t="str">
        <f>"cdb04"</f>
        <v>cdb04</v>
      </c>
      <c r="AE135" s="10" t="str">
        <f t="shared" si="107"/>
        <v>Finance &amp; Procurement / Finance</v>
      </c>
      <c r="AG135" s="10" t="str">
        <f>"21733/1516"</f>
        <v>21733/1516</v>
      </c>
      <c r="AI135" s="10" t="str">
        <f>"14suse"</f>
        <v>14suse</v>
      </c>
      <c r="AJ135" s="15" t="str">
        <f>"BASIC 12 MONTHS RENEWAL FOR NETBACKUP STD CLIENT XPLAT 1 SERVER ONPREMISE STANDARD PERPETUAL LICENSE GOV _x000D_
VENDOR SKU: 11466-M3-13_x000D_
_x000D_
Contract dates from 1st January 2017 to 31st December 2017_x000D_
_x000D_
Quote No. Q1612020 (Phil Herron)"</f>
        <v>BASIC 12 MONTHS RENEWAL FOR NETBACKUP STD CLIENT XPLAT 1 SERVER ONPREMISE STANDARD PERPETUAL LICENSE GOV _x000D_
VENDOR SKU: 11466-M3-13_x000D_
_x000D_
Contract dates from 1st January 2017 to 31st December 2017_x000D_
_x000D_
Quote No. Q1612020 (Phil Herron)</v>
      </c>
      <c r="AK135" s="10" t="str">
        <f t="shared" si="90"/>
        <v>Revenue</v>
      </c>
      <c r="AL135" s="10" t="str">
        <f>""</f>
        <v/>
      </c>
      <c r="AM135" s="10" t="str">
        <f>""</f>
        <v/>
      </c>
      <c r="AN135" s="10" t="str">
        <f>""</f>
        <v/>
      </c>
      <c r="AO135" s="10" t="str">
        <f>""</f>
        <v/>
      </c>
    </row>
    <row r="136" spans="1:41" s="10" customFormat="1" ht="409.6">
      <c r="A136" s="9"/>
      <c r="B136" s="9"/>
      <c r="C136" s="9"/>
      <c r="D136" s="10" t="str">
        <f>"28725"</f>
        <v>28725</v>
      </c>
      <c r="E136" s="11" t="str">
        <f>""</f>
        <v/>
      </c>
      <c r="F136" s="11" t="str">
        <f t="shared" si="100"/>
        <v>372418</v>
      </c>
      <c r="G136" s="11" t="str">
        <f t="shared" si="101"/>
        <v>2017toJAN</v>
      </c>
      <c r="H136" s="11" t="str">
        <f t="shared" si="102"/>
        <v>CRSP06B</v>
      </c>
      <c r="I136" s="11" t="str">
        <f t="shared" si="103"/>
        <v>34</v>
      </c>
      <c r="J136" s="11" t="str">
        <f t="shared" si="104"/>
        <v>Creditor</v>
      </c>
      <c r="K136" s="11" t="str">
        <f>"CS001184"</f>
        <v>CS001184</v>
      </c>
      <c r="L136" s="10" t="str">
        <f>"County Pumps Limited"</f>
        <v>County Pumps Limited</v>
      </c>
      <c r="M136" s="12" t="str">
        <f>"23/01/2017 00:00:00"</f>
        <v>23/01/2017 00:00:00</v>
      </c>
      <c r="N136" s="12">
        <v>42758</v>
      </c>
      <c r="O136" s="10" t="str">
        <f>"C007426"</f>
        <v>C007426</v>
      </c>
      <c r="P136" s="13">
        <v>664.9</v>
      </c>
      <c r="Q136" s="11" t="str">
        <f>"664.9000"</f>
        <v>664.9000</v>
      </c>
      <c r="R136" s="10" t="str">
        <f>"C0004530"</f>
        <v>C0004530</v>
      </c>
      <c r="S136" s="14" t="str">
        <f>"797.8800"</f>
        <v>797.8800</v>
      </c>
      <c r="T136" s="10">
        <v>21715</v>
      </c>
      <c r="U136" s="10">
        <v>1200</v>
      </c>
      <c r="V136" s="10" t="str">
        <f>"Repairs &amp; Maintenance"</f>
        <v>Repairs &amp; Maintenance</v>
      </c>
      <c r="W136" s="10" t="str">
        <f>"Premises Related Expenditure"</f>
        <v>Premises Related Expenditure</v>
      </c>
      <c r="X136" s="10" t="str">
        <f>VLOOKUP(U136,'[1]Account code lookup'!A:B,2,0)</f>
        <v>Repair &amp; Maintenance</v>
      </c>
      <c r="Z136" s="10" t="str">
        <f>"Regeneration and Housing"</f>
        <v>Regeneration and Housing</v>
      </c>
      <c r="AA136" s="10" t="str">
        <f t="shared" si="105"/>
        <v>Commercial Development</v>
      </c>
      <c r="AB136" s="10" t="str">
        <f t="shared" si="106"/>
        <v>2cdb</v>
      </c>
      <c r="AD136" s="10" t="str">
        <f>"cdb02"</f>
        <v>cdb02</v>
      </c>
      <c r="AE136" s="10" t="str">
        <f t="shared" si="107"/>
        <v>Finance &amp; Procurement / Finance</v>
      </c>
      <c r="AG136" s="10" t="str">
        <f>"21715/1200"</f>
        <v>21715/1200</v>
      </c>
      <c r="AI136" s="10" t="str">
        <f>"12prem"</f>
        <v>12prem</v>
      </c>
      <c r="AJ136" s="15" t="str">
        <f>"HIGHFIELD DEPOTBicester Depot: To service 4 off diesel/gas oil pumps and tanks and 1 off Ad-Blue pump and tank:  £486.00 + V.A.T"</f>
        <v>HIGHFIELD DEPOTBicester Depot: To service 4 off diesel/gas oil pumps and tanks and 1 off Ad-Blue pump and tank:  £486.00 + V.A.T</v>
      </c>
      <c r="AK136" s="10" t="str">
        <f t="shared" ref="AK136:AK158" si="108">"Revenue"</f>
        <v>Revenue</v>
      </c>
      <c r="AL136" s="10" t="str">
        <f>""</f>
        <v/>
      </c>
      <c r="AM136" s="10" t="str">
        <f>""</f>
        <v/>
      </c>
      <c r="AN136" s="10" t="str">
        <f>""</f>
        <v/>
      </c>
      <c r="AO136" s="10" t="str">
        <f>""</f>
        <v/>
      </c>
    </row>
    <row r="137" spans="1:41" s="10" customFormat="1" ht="409.6">
      <c r="A137" s="9"/>
      <c r="B137" s="9"/>
      <c r="C137" s="9"/>
      <c r="D137" s="10" t="str">
        <f>"29023"</f>
        <v>29023</v>
      </c>
      <c r="E137" s="11" t="str">
        <f>""</f>
        <v/>
      </c>
      <c r="F137" s="11" t="str">
        <f t="shared" si="100"/>
        <v>372418</v>
      </c>
      <c r="G137" s="11" t="str">
        <f t="shared" si="101"/>
        <v>2017toJAN</v>
      </c>
      <c r="H137" s="11" t="str">
        <f t="shared" si="102"/>
        <v>CRSP06B</v>
      </c>
      <c r="I137" s="11" t="str">
        <f t="shared" si="103"/>
        <v>34</v>
      </c>
      <c r="J137" s="11" t="str">
        <f t="shared" si="104"/>
        <v>Creditor</v>
      </c>
      <c r="K137" s="11" t="str">
        <f>"CG003033"</f>
        <v>CG003033</v>
      </c>
      <c r="L137" s="10" t="str">
        <f>"Crisis "</f>
        <v xml:space="preserve">Crisis </v>
      </c>
      <c r="M137" s="12" t="str">
        <f>"19/01/2017 00:00:00"</f>
        <v>19/01/2017 00:00:00</v>
      </c>
      <c r="N137" s="12">
        <v>42754</v>
      </c>
      <c r="O137" s="10" t="str">
        <f>"C007568"</f>
        <v>C007568</v>
      </c>
      <c r="P137" s="13">
        <v>1063.5</v>
      </c>
      <c r="Q137" s="11" t="str">
        <f>"1063.5000"</f>
        <v>1063.5000</v>
      </c>
      <c r="R137" s="10" t="str">
        <f>"059238"</f>
        <v>059238</v>
      </c>
      <c r="S137" s="14" t="str">
        <f>"1063.5000"</f>
        <v>1063.5000</v>
      </c>
      <c r="T137" s="10">
        <v>28655</v>
      </c>
      <c r="U137" s="10">
        <v>1580</v>
      </c>
      <c r="V137" s="10" t="str">
        <f>"Grants and subscriptions"</f>
        <v>Grants and subscriptions</v>
      </c>
      <c r="W137" s="10" t="str">
        <f>"Supplies and Services"</f>
        <v>Supplies and Services</v>
      </c>
      <c r="X137" s="10" t="str">
        <f>VLOOKUP(U137,'[1]Account code lookup'!A:B,2,0)</f>
        <v>Grants</v>
      </c>
      <c r="Z137" s="10" t="str">
        <f>"Regeneration and Housing"</f>
        <v>Regeneration and Housing</v>
      </c>
      <c r="AA137" s="10" t="str">
        <f t="shared" si="105"/>
        <v>Commercial Development</v>
      </c>
      <c r="AB137" s="10" t="str">
        <f t="shared" si="106"/>
        <v>2cdb</v>
      </c>
      <c r="AD137" s="10" t="str">
        <f>"cdb02"</f>
        <v>cdb02</v>
      </c>
      <c r="AE137" s="10" t="str">
        <f>"Regeneration &amp; Housing / Housing Needs"</f>
        <v>Regeneration &amp; Housing / Housing Needs</v>
      </c>
      <c r="AG137" s="10" t="str">
        <f>"28655/1580"</f>
        <v>28655/1580</v>
      </c>
      <c r="AI137" s="10" t="str">
        <f>"14suse"</f>
        <v>14suse</v>
      </c>
      <c r="AJ137" s="15" t="str">
        <f>"To deliver a pre-tenancy `renting ready` course in HMP Bullingdon to a maximum of 12 offenders_x000D_
_x000D_
Delivery of `renting ready` course - £730_x000D_
Train Fare - £179.50_x000D_
Taxi costs - £154.00"</f>
        <v>To deliver a pre-tenancy `renting ready` course in HMP Bullingdon to a maximum of 12 offenders_x000D_
_x000D_
Delivery of `renting ready` course - £730_x000D_
Train Fare - £179.50_x000D_
Taxi costs - £154.00</v>
      </c>
      <c r="AK137" s="10" t="str">
        <f t="shared" si="108"/>
        <v>Revenue</v>
      </c>
      <c r="AL137" s="10" t="str">
        <f>""</f>
        <v/>
      </c>
      <c r="AM137" s="10" t="str">
        <f>""</f>
        <v/>
      </c>
      <c r="AN137" s="10" t="str">
        <f>""</f>
        <v/>
      </c>
      <c r="AO137" s="10" t="str">
        <f>""</f>
        <v/>
      </c>
    </row>
    <row r="138" spans="1:41" s="10" customFormat="1" ht="409.6">
      <c r="A138" s="9"/>
      <c r="B138" s="9"/>
      <c r="C138" s="9"/>
      <c r="D138" s="10" t="str">
        <f>"29024"</f>
        <v>29024</v>
      </c>
      <c r="E138" s="11" t="str">
        <f>""</f>
        <v/>
      </c>
      <c r="F138" s="11" t="str">
        <f t="shared" si="100"/>
        <v>372418</v>
      </c>
      <c r="G138" s="11" t="str">
        <f t="shared" si="101"/>
        <v>2017toJAN</v>
      </c>
      <c r="H138" s="11" t="str">
        <f t="shared" si="102"/>
        <v>CRSP06B</v>
      </c>
      <c r="I138" s="11" t="str">
        <f t="shared" si="103"/>
        <v>34</v>
      </c>
      <c r="J138" s="11" t="str">
        <f t="shared" si="104"/>
        <v>Creditor</v>
      </c>
      <c r="K138" s="11" t="str">
        <f>"CS001192"</f>
        <v>CS001192</v>
      </c>
      <c r="L138" s="10" t="str">
        <f>"Cromwell Group (Holding) Ltd"</f>
        <v>Cromwell Group (Holding) Ltd</v>
      </c>
      <c r="M138" s="12" t="str">
        <f>"09/01/2017 00:00:00"</f>
        <v>09/01/2017 00:00:00</v>
      </c>
      <c r="N138" s="12">
        <v>42744</v>
      </c>
      <c r="O138" s="10" t="str">
        <f>"C007759"</f>
        <v>C007759</v>
      </c>
      <c r="P138" s="13">
        <v>1574.87</v>
      </c>
      <c r="Q138" s="11" t="str">
        <f>"1574.8700"</f>
        <v>1574.8700</v>
      </c>
      <c r="R138" s="10" t="str">
        <f>"C0004331"</f>
        <v>C0004331</v>
      </c>
      <c r="S138" s="14" t="str">
        <f>"1889.8400"</f>
        <v>1889.8400</v>
      </c>
      <c r="T138" s="10">
        <v>21706</v>
      </c>
      <c r="U138" s="10">
        <v>1400</v>
      </c>
      <c r="V138" s="10" t="str">
        <f>"Equipment, furniture and mats"</f>
        <v>Equipment, furniture and mats</v>
      </c>
      <c r="W138" s="10" t="str">
        <f>"Supplies and Services"</f>
        <v>Supplies and Services</v>
      </c>
      <c r="X138" s="10" t="str">
        <f>VLOOKUP(U138,'[1]Account code lookup'!A:B,2,0)</f>
        <v>Equipment General</v>
      </c>
      <c r="Z138" s="10" t="str">
        <f t="shared" ref="Z138:Z158" si="109">"Environmental Services"</f>
        <v>Environmental Services</v>
      </c>
      <c r="AA138" s="10" t="str">
        <f t="shared" ref="AA138:AA158" si="110">"Operations and Delivery"</f>
        <v>Operations and Delivery</v>
      </c>
      <c r="AB138" s="10" t="str">
        <f t="shared" ref="AB138:AB158" si="111">"5oad"</f>
        <v>5oad</v>
      </c>
      <c r="AD138" s="10" t="str">
        <f t="shared" ref="AD138:AD158" si="112">"oad02"</f>
        <v>oad02</v>
      </c>
      <c r="AE138" s="10" t="str">
        <f>"Environmental Services / Vehicle Maintenance &amp; MOT`s"</f>
        <v>Environmental Services / Vehicle Maintenance &amp; MOT`s</v>
      </c>
      <c r="AG138" s="10" t="str">
        <f>"21706/1400"</f>
        <v>21706/1400</v>
      </c>
      <c r="AI138" s="10" t="str">
        <f>"14suse"</f>
        <v>14suse</v>
      </c>
      <c r="AJ138" s="15" t="str">
        <f>"Parts/Tools - Workshop"</f>
        <v>Parts/Tools - Workshop</v>
      </c>
      <c r="AK138" s="10" t="str">
        <f t="shared" si="108"/>
        <v>Revenue</v>
      </c>
      <c r="AL138" s="10" t="str">
        <f>""</f>
        <v/>
      </c>
      <c r="AM138" s="10" t="str">
        <f>""</f>
        <v/>
      </c>
      <c r="AN138" s="10" t="str">
        <f>""</f>
        <v/>
      </c>
      <c r="AO138" s="10" t="str">
        <f>""</f>
        <v/>
      </c>
    </row>
    <row r="139" spans="1:41" s="10" customFormat="1" ht="409.6">
      <c r="A139" s="9"/>
      <c r="B139" s="9"/>
      <c r="C139" s="9"/>
      <c r="D139" s="10" t="str">
        <f>"29025"</f>
        <v>29025</v>
      </c>
      <c r="E139" s="11" t="str">
        <f>""</f>
        <v/>
      </c>
      <c r="F139" s="11" t="str">
        <f t="shared" si="100"/>
        <v>372418</v>
      </c>
      <c r="G139" s="11" t="str">
        <f t="shared" si="101"/>
        <v>2017toJAN</v>
      </c>
      <c r="H139" s="11" t="str">
        <f t="shared" si="102"/>
        <v>CRSP06B</v>
      </c>
      <c r="I139" s="11" t="str">
        <f t="shared" si="103"/>
        <v>34</v>
      </c>
      <c r="J139" s="11" t="str">
        <f t="shared" si="104"/>
        <v>Creditor</v>
      </c>
      <c r="K139" s="11" t="str">
        <f>"CS003095"</f>
        <v>CS003095</v>
      </c>
      <c r="L139" s="10" t="str">
        <f>"Dawsonrentals Sweepers"</f>
        <v>Dawsonrentals Sweepers</v>
      </c>
      <c r="M139" s="12" t="str">
        <f>"20/01/2017 00:00:00"</f>
        <v>20/01/2017 00:00:00</v>
      </c>
      <c r="N139" s="12">
        <v>42755</v>
      </c>
      <c r="O139" s="10" t="str">
        <f>"C007667"</f>
        <v>C007667</v>
      </c>
      <c r="P139" s="13">
        <v>1924</v>
      </c>
      <c r="Q139" s="11" t="str">
        <f>"1924.0000"</f>
        <v>1924.0000</v>
      </c>
      <c r="R139" s="10" t="str">
        <f>"C0004519"</f>
        <v>C0004519</v>
      </c>
      <c r="S139" s="14" t="str">
        <f>"2308.8000"</f>
        <v>2308.8000</v>
      </c>
      <c r="T139" s="10">
        <v>25700</v>
      </c>
      <c r="U139" s="10">
        <v>1340</v>
      </c>
      <c r="V139" s="10" t="str">
        <f>"Transport Insurance Expenses"</f>
        <v>Transport Insurance Expenses</v>
      </c>
      <c r="W139" s="10" t="str">
        <f t="shared" ref="W139:W158" si="113">"Transport Related Expenditure"</f>
        <v>Transport Related Expenditure</v>
      </c>
      <c r="X139" s="10" t="str">
        <f>VLOOKUP(U139,'[1]Account code lookup'!A:B,2,0)</f>
        <v>Vehicle Insurance</v>
      </c>
      <c r="Z139" s="10" t="str">
        <f t="shared" si="109"/>
        <v>Environmental Services</v>
      </c>
      <c r="AA139" s="10" t="str">
        <f t="shared" si="110"/>
        <v>Operations and Delivery</v>
      </c>
      <c r="AB139" s="10" t="str">
        <f t="shared" si="111"/>
        <v>5oad</v>
      </c>
      <c r="AD139" s="10" t="str">
        <f t="shared" si="112"/>
        <v>oad02</v>
      </c>
      <c r="AE139" s="10" t="str">
        <f>"Environmental Services / Vehicle Maintenance &amp; MOT`s"</f>
        <v>Environmental Services / Vehicle Maintenance &amp; MOT`s</v>
      </c>
      <c r="AG139" s="10" t="str">
        <f>"25700/1340"</f>
        <v>25700/1340</v>
      </c>
      <c r="AI139" s="10" t="str">
        <f t="shared" ref="AI139:AI158" si="114">"13trans"</f>
        <v>13trans</v>
      </c>
      <c r="AJ139" s="15" t="str">
        <f>"Hire of Sweeper (Dec 16)"</f>
        <v>Hire of Sweeper (Dec 16)</v>
      </c>
      <c r="AK139" s="10" t="str">
        <f t="shared" si="108"/>
        <v>Revenue</v>
      </c>
      <c r="AL139" s="10" t="str">
        <f>""</f>
        <v/>
      </c>
      <c r="AM139" s="10" t="str">
        <f>""</f>
        <v/>
      </c>
      <c r="AN139" s="10" t="str">
        <f>""</f>
        <v/>
      </c>
      <c r="AO139" s="10" t="str">
        <f>""</f>
        <v/>
      </c>
    </row>
    <row r="140" spans="1:41" s="10" customFormat="1" ht="409.6">
      <c r="A140" s="9"/>
      <c r="B140" s="9"/>
      <c r="C140" s="9"/>
      <c r="D140" s="10" t="str">
        <f>"29026"</f>
        <v>29026</v>
      </c>
      <c r="E140" s="11" t="str">
        <f>""</f>
        <v/>
      </c>
      <c r="F140" s="11" t="str">
        <f t="shared" si="100"/>
        <v>372418</v>
      </c>
      <c r="G140" s="11" t="str">
        <f t="shared" si="101"/>
        <v>2017toJAN</v>
      </c>
      <c r="H140" s="11" t="str">
        <f t="shared" si="102"/>
        <v>CRSP06B</v>
      </c>
      <c r="I140" s="11" t="str">
        <f t="shared" si="103"/>
        <v>34</v>
      </c>
      <c r="J140" s="11" t="str">
        <f t="shared" si="104"/>
        <v>Creditor</v>
      </c>
      <c r="K140" s="11" t="str">
        <f t="shared" ref="K140:K158" si="115">"CS001107"</f>
        <v>CS001107</v>
      </c>
      <c r="L140" s="10" t="str">
        <f t="shared" ref="L140:L158" si="116">"Dennis Eagle"</f>
        <v>Dennis Eagle</v>
      </c>
      <c r="M140" s="12" t="str">
        <f>"04/01/2017 00:00:00"</f>
        <v>04/01/2017 00:00:00</v>
      </c>
      <c r="N140" s="12">
        <v>42739</v>
      </c>
      <c r="O140" s="10" t="str">
        <f>"C007565"</f>
        <v>C007565</v>
      </c>
      <c r="P140" s="13">
        <v>358.35</v>
      </c>
      <c r="Q140" s="11" t="str">
        <f>"358.3500"</f>
        <v>358.3500</v>
      </c>
      <c r="R140" s="10" t="str">
        <f>"C0004265"</f>
        <v>C0004265</v>
      </c>
      <c r="S140" s="14" t="str">
        <f>"630.1000"</f>
        <v>630.1000</v>
      </c>
      <c r="T140" s="10">
        <v>21706</v>
      </c>
      <c r="U140" s="10">
        <v>1300</v>
      </c>
      <c r="V140" s="10" t="str">
        <f t="shared" ref="V140:V158" si="117">"Direct transport costs"</f>
        <v>Direct transport costs</v>
      </c>
      <c r="W140" s="10" t="str">
        <f t="shared" si="113"/>
        <v>Transport Related Expenditure</v>
      </c>
      <c r="X140" s="10" t="str">
        <f>VLOOKUP(U140,'[1]Account code lookup'!A:B,2,0)</f>
        <v>Vehicle Repair &amp; Maintenance</v>
      </c>
      <c r="Z140" s="10" t="str">
        <f t="shared" si="109"/>
        <v>Environmental Services</v>
      </c>
      <c r="AA140" s="10" t="str">
        <f t="shared" si="110"/>
        <v>Operations and Delivery</v>
      </c>
      <c r="AB140" s="10" t="str">
        <f t="shared" si="111"/>
        <v>5oad</v>
      </c>
      <c r="AD140" s="10" t="str">
        <f t="shared" si="112"/>
        <v>oad02</v>
      </c>
      <c r="AE140" s="10" t="str">
        <f t="shared" ref="AE140:AE158" si="118">"Finance &amp; Procurement / Head of Finance &amp; Procurement"</f>
        <v>Finance &amp; Procurement / Head of Finance &amp; Procurement</v>
      </c>
      <c r="AG140" s="10" t="str">
        <f t="shared" ref="AG140:AG158" si="119">"21706/1300"</f>
        <v>21706/1300</v>
      </c>
      <c r="AI140" s="10" t="str">
        <f t="shared" si="114"/>
        <v>13trans</v>
      </c>
      <c r="AJ140" s="15" t="str">
        <f t="shared" ref="AJ140:AJ158" si="120">"Annual order for 2016-2017"</f>
        <v>Annual order for 2016-2017</v>
      </c>
      <c r="AK140" s="10" t="str">
        <f t="shared" si="108"/>
        <v>Revenue</v>
      </c>
      <c r="AL140" s="10" t="str">
        <f>""</f>
        <v/>
      </c>
      <c r="AM140" s="10" t="str">
        <f>""</f>
        <v/>
      </c>
      <c r="AN140" s="10" t="str">
        <f>""</f>
        <v/>
      </c>
      <c r="AO140" s="10" t="str">
        <f>""</f>
        <v/>
      </c>
    </row>
    <row r="141" spans="1:41" s="10" customFormat="1" ht="409.6">
      <c r="A141" s="9"/>
      <c r="B141" s="9"/>
      <c r="C141" s="9"/>
      <c r="D141" s="10" t="str">
        <f>"29027"</f>
        <v>29027</v>
      </c>
      <c r="E141" s="11" t="str">
        <f>""</f>
        <v/>
      </c>
      <c r="F141" s="11" t="str">
        <f t="shared" si="100"/>
        <v>372418</v>
      </c>
      <c r="G141" s="11" t="str">
        <f t="shared" si="101"/>
        <v>2017toJAN</v>
      </c>
      <c r="H141" s="11" t="str">
        <f t="shared" si="102"/>
        <v>CRSP06B</v>
      </c>
      <c r="I141" s="11" t="str">
        <f t="shared" si="103"/>
        <v>34</v>
      </c>
      <c r="J141" s="11" t="str">
        <f t="shared" si="104"/>
        <v>Creditor</v>
      </c>
      <c r="K141" s="11" t="str">
        <f t="shared" si="115"/>
        <v>CS001107</v>
      </c>
      <c r="L141" s="10" t="str">
        <f t="shared" si="116"/>
        <v>Dennis Eagle</v>
      </c>
      <c r="M141" s="12" t="str">
        <f>"04/01/2017 00:00:00"</f>
        <v>04/01/2017 00:00:00</v>
      </c>
      <c r="N141" s="12">
        <v>42739</v>
      </c>
      <c r="O141" s="10" t="str">
        <f>"C007566"</f>
        <v>C007566</v>
      </c>
      <c r="P141" s="13">
        <v>166.73</v>
      </c>
      <c r="Q141" s="11" t="str">
        <f>"166.7300"</f>
        <v>166.7300</v>
      </c>
      <c r="R141" s="10" t="str">
        <f>"C0004265"</f>
        <v>C0004265</v>
      </c>
      <c r="S141" s="14" t="str">
        <f>"630.1000"</f>
        <v>630.1000</v>
      </c>
      <c r="T141" s="10">
        <v>21706</v>
      </c>
      <c r="U141" s="10">
        <v>1300</v>
      </c>
      <c r="V141" s="10" t="str">
        <f t="shared" si="117"/>
        <v>Direct transport costs</v>
      </c>
      <c r="W141" s="10" t="str">
        <f t="shared" si="113"/>
        <v>Transport Related Expenditure</v>
      </c>
      <c r="X141" s="10" t="str">
        <f>VLOOKUP(U141,'[1]Account code lookup'!A:B,2,0)</f>
        <v>Vehicle Repair &amp; Maintenance</v>
      </c>
      <c r="Z141" s="10" t="str">
        <f t="shared" si="109"/>
        <v>Environmental Services</v>
      </c>
      <c r="AA141" s="10" t="str">
        <f t="shared" si="110"/>
        <v>Operations and Delivery</v>
      </c>
      <c r="AB141" s="10" t="str">
        <f t="shared" si="111"/>
        <v>5oad</v>
      </c>
      <c r="AD141" s="10" t="str">
        <f t="shared" si="112"/>
        <v>oad02</v>
      </c>
      <c r="AE141" s="10" t="str">
        <f t="shared" si="118"/>
        <v>Finance &amp; Procurement / Head of Finance &amp; Procurement</v>
      </c>
      <c r="AG141" s="10" t="str">
        <f t="shared" si="119"/>
        <v>21706/1300</v>
      </c>
      <c r="AI141" s="10" t="str">
        <f t="shared" si="114"/>
        <v>13trans</v>
      </c>
      <c r="AJ141" s="15" t="str">
        <f t="shared" si="120"/>
        <v>Annual order for 2016-2017</v>
      </c>
      <c r="AK141" s="10" t="str">
        <f t="shared" si="108"/>
        <v>Revenue</v>
      </c>
      <c r="AL141" s="10" t="str">
        <f>""</f>
        <v/>
      </c>
      <c r="AM141" s="10" t="str">
        <f>""</f>
        <v/>
      </c>
      <c r="AN141" s="10" t="str">
        <f>""</f>
        <v/>
      </c>
      <c r="AO141" s="10" t="str">
        <f>""</f>
        <v/>
      </c>
    </row>
    <row r="142" spans="1:41" s="10" customFormat="1" ht="409.6">
      <c r="A142" s="9"/>
      <c r="B142" s="9"/>
      <c r="C142" s="9"/>
      <c r="D142" s="10" t="str">
        <f>"29028"</f>
        <v>29028</v>
      </c>
      <c r="E142" s="11" t="str">
        <f>""</f>
        <v/>
      </c>
      <c r="F142" s="11" t="str">
        <f t="shared" si="100"/>
        <v>372418</v>
      </c>
      <c r="G142" s="11" t="str">
        <f t="shared" si="101"/>
        <v>2017toJAN</v>
      </c>
      <c r="H142" s="11" t="str">
        <f t="shared" si="102"/>
        <v>CRSP06B</v>
      </c>
      <c r="I142" s="11" t="str">
        <f t="shared" si="103"/>
        <v>34</v>
      </c>
      <c r="J142" s="11" t="str">
        <f t="shared" si="104"/>
        <v>Creditor</v>
      </c>
      <c r="K142" s="11" t="str">
        <f t="shared" si="115"/>
        <v>CS001107</v>
      </c>
      <c r="L142" s="10" t="str">
        <f t="shared" si="116"/>
        <v>Dennis Eagle</v>
      </c>
      <c r="M142" s="12" t="str">
        <f>"06/01/2017 00:00:00"</f>
        <v>06/01/2017 00:00:00</v>
      </c>
      <c r="N142" s="12">
        <v>42741</v>
      </c>
      <c r="O142" s="10" t="str">
        <f>"C007603"</f>
        <v>C007603</v>
      </c>
      <c r="P142" s="13">
        <v>969.75</v>
      </c>
      <c r="Q142" s="11" t="str">
        <f>"969.7500"</f>
        <v>969.7500</v>
      </c>
      <c r="R142" s="10" t="str">
        <f>"C0004297"</f>
        <v>C0004297</v>
      </c>
      <c r="S142" s="14" t="str">
        <f>"1189.7200"</f>
        <v>1189.7200</v>
      </c>
      <c r="T142" s="10">
        <v>21706</v>
      </c>
      <c r="U142" s="10">
        <v>1300</v>
      </c>
      <c r="V142" s="10" t="str">
        <f t="shared" si="117"/>
        <v>Direct transport costs</v>
      </c>
      <c r="W142" s="10" t="str">
        <f t="shared" si="113"/>
        <v>Transport Related Expenditure</v>
      </c>
      <c r="X142" s="10" t="str">
        <f>VLOOKUP(U142,'[1]Account code lookup'!A:B,2,0)</f>
        <v>Vehicle Repair &amp; Maintenance</v>
      </c>
      <c r="Z142" s="10" t="str">
        <f t="shared" si="109"/>
        <v>Environmental Services</v>
      </c>
      <c r="AA142" s="10" t="str">
        <f t="shared" si="110"/>
        <v>Operations and Delivery</v>
      </c>
      <c r="AB142" s="10" t="str">
        <f t="shared" si="111"/>
        <v>5oad</v>
      </c>
      <c r="AD142" s="10" t="str">
        <f t="shared" si="112"/>
        <v>oad02</v>
      </c>
      <c r="AE142" s="10" t="str">
        <f t="shared" si="118"/>
        <v>Finance &amp; Procurement / Head of Finance &amp; Procurement</v>
      </c>
      <c r="AG142" s="10" t="str">
        <f t="shared" si="119"/>
        <v>21706/1300</v>
      </c>
      <c r="AI142" s="10" t="str">
        <f t="shared" si="114"/>
        <v>13trans</v>
      </c>
      <c r="AJ142" s="15" t="str">
        <f t="shared" si="120"/>
        <v>Annual order for 2016-2017</v>
      </c>
      <c r="AK142" s="10" t="str">
        <f t="shared" si="108"/>
        <v>Revenue</v>
      </c>
      <c r="AL142" s="10" t="str">
        <f>""</f>
        <v/>
      </c>
      <c r="AM142" s="10" t="str">
        <f>""</f>
        <v/>
      </c>
      <c r="AN142" s="10" t="str">
        <f>""</f>
        <v/>
      </c>
      <c r="AO142" s="10" t="str">
        <f>""</f>
        <v/>
      </c>
    </row>
    <row r="143" spans="1:41" s="10" customFormat="1" ht="409.6">
      <c r="A143" s="9"/>
      <c r="B143" s="9"/>
      <c r="C143" s="9"/>
      <c r="D143" s="10" t="str">
        <f>"29029"</f>
        <v>29029</v>
      </c>
      <c r="E143" s="11" t="str">
        <f>""</f>
        <v/>
      </c>
      <c r="F143" s="11" t="str">
        <f t="shared" si="100"/>
        <v>372418</v>
      </c>
      <c r="G143" s="11" t="str">
        <f t="shared" si="101"/>
        <v>2017toJAN</v>
      </c>
      <c r="H143" s="11" t="str">
        <f t="shared" si="102"/>
        <v>CRSP06B</v>
      </c>
      <c r="I143" s="11" t="str">
        <f t="shared" si="103"/>
        <v>34</v>
      </c>
      <c r="J143" s="11" t="str">
        <f t="shared" si="104"/>
        <v>Creditor</v>
      </c>
      <c r="K143" s="11" t="str">
        <f t="shared" si="115"/>
        <v>CS001107</v>
      </c>
      <c r="L143" s="10" t="str">
        <f t="shared" si="116"/>
        <v>Dennis Eagle</v>
      </c>
      <c r="M143" s="12" t="str">
        <f>"06/01/2017 00:00:00"</f>
        <v>06/01/2017 00:00:00</v>
      </c>
      <c r="N143" s="12">
        <v>42741</v>
      </c>
      <c r="O143" s="10" t="str">
        <f>"C007705"</f>
        <v>C007705</v>
      </c>
      <c r="P143" s="13">
        <v>21.68</v>
      </c>
      <c r="Q143" s="11" t="str">
        <f>"21.6800"</f>
        <v>21.6800</v>
      </c>
      <c r="R143" s="10" t="str">
        <f>"C0004297"</f>
        <v>C0004297</v>
      </c>
      <c r="S143" s="14" t="str">
        <f>"1189.7200"</f>
        <v>1189.7200</v>
      </c>
      <c r="T143" s="10">
        <v>21706</v>
      </c>
      <c r="U143" s="10">
        <v>1300</v>
      </c>
      <c r="V143" s="10" t="str">
        <f t="shared" si="117"/>
        <v>Direct transport costs</v>
      </c>
      <c r="W143" s="10" t="str">
        <f t="shared" si="113"/>
        <v>Transport Related Expenditure</v>
      </c>
      <c r="X143" s="10" t="str">
        <f>VLOOKUP(U143,'[1]Account code lookup'!A:B,2,0)</f>
        <v>Vehicle Repair &amp; Maintenance</v>
      </c>
      <c r="Z143" s="10" t="str">
        <f t="shared" si="109"/>
        <v>Environmental Services</v>
      </c>
      <c r="AA143" s="10" t="str">
        <f t="shared" si="110"/>
        <v>Operations and Delivery</v>
      </c>
      <c r="AB143" s="10" t="str">
        <f t="shared" si="111"/>
        <v>5oad</v>
      </c>
      <c r="AD143" s="10" t="str">
        <f t="shared" si="112"/>
        <v>oad02</v>
      </c>
      <c r="AE143" s="10" t="str">
        <f t="shared" si="118"/>
        <v>Finance &amp; Procurement / Head of Finance &amp; Procurement</v>
      </c>
      <c r="AG143" s="10" t="str">
        <f t="shared" si="119"/>
        <v>21706/1300</v>
      </c>
      <c r="AI143" s="10" t="str">
        <f t="shared" si="114"/>
        <v>13trans</v>
      </c>
      <c r="AJ143" s="15" t="str">
        <f t="shared" si="120"/>
        <v>Annual order for 2016-2017</v>
      </c>
      <c r="AK143" s="10" t="str">
        <f t="shared" si="108"/>
        <v>Revenue</v>
      </c>
      <c r="AL143" s="10" t="str">
        <f>""</f>
        <v/>
      </c>
      <c r="AM143" s="10" t="str">
        <f>""</f>
        <v/>
      </c>
      <c r="AN143" s="10" t="str">
        <f>""</f>
        <v/>
      </c>
      <c r="AO143" s="10" t="str">
        <f>""</f>
        <v/>
      </c>
    </row>
    <row r="144" spans="1:41" s="10" customFormat="1" ht="409.6">
      <c r="A144" s="9"/>
      <c r="B144" s="9"/>
      <c r="C144" s="9"/>
      <c r="D144" s="10" t="str">
        <f>"29030"</f>
        <v>29030</v>
      </c>
      <c r="E144" s="11" t="str">
        <f>""</f>
        <v/>
      </c>
      <c r="F144" s="11" t="str">
        <f t="shared" si="100"/>
        <v>372418</v>
      </c>
      <c r="G144" s="11" t="str">
        <f t="shared" si="101"/>
        <v>2017toJAN</v>
      </c>
      <c r="H144" s="11" t="str">
        <f t="shared" si="102"/>
        <v>CRSP06B</v>
      </c>
      <c r="I144" s="11" t="str">
        <f t="shared" si="103"/>
        <v>34</v>
      </c>
      <c r="J144" s="11" t="str">
        <f t="shared" si="104"/>
        <v>Creditor</v>
      </c>
      <c r="K144" s="11" t="str">
        <f t="shared" si="115"/>
        <v>CS001107</v>
      </c>
      <c r="L144" s="10" t="str">
        <f t="shared" si="116"/>
        <v>Dennis Eagle</v>
      </c>
      <c r="M144" s="12" t="str">
        <f>"09/01/2017 00:00:00"</f>
        <v>09/01/2017 00:00:00</v>
      </c>
      <c r="N144" s="12">
        <v>42744</v>
      </c>
      <c r="O144" s="10" t="str">
        <f>"C007712"</f>
        <v>C007712</v>
      </c>
      <c r="P144" s="13">
        <v>621.14</v>
      </c>
      <c r="Q144" s="11" t="str">
        <f>"621.1400"</f>
        <v>621.1400</v>
      </c>
      <c r="R144" s="10" t="str">
        <f>"C0004330"</f>
        <v>C0004330</v>
      </c>
      <c r="S144" s="14" t="str">
        <f>"745.3700"</f>
        <v>745.3700</v>
      </c>
      <c r="T144" s="10">
        <v>21706</v>
      </c>
      <c r="U144" s="10">
        <v>1300</v>
      </c>
      <c r="V144" s="10" t="str">
        <f t="shared" si="117"/>
        <v>Direct transport costs</v>
      </c>
      <c r="W144" s="10" t="str">
        <f t="shared" si="113"/>
        <v>Transport Related Expenditure</v>
      </c>
      <c r="X144" s="10" t="str">
        <f>VLOOKUP(U144,'[1]Account code lookup'!A:B,2,0)</f>
        <v>Vehicle Repair &amp; Maintenance</v>
      </c>
      <c r="Z144" s="10" t="str">
        <f t="shared" si="109"/>
        <v>Environmental Services</v>
      </c>
      <c r="AA144" s="10" t="str">
        <f t="shared" si="110"/>
        <v>Operations and Delivery</v>
      </c>
      <c r="AB144" s="10" t="str">
        <f t="shared" si="111"/>
        <v>5oad</v>
      </c>
      <c r="AD144" s="10" t="str">
        <f t="shared" si="112"/>
        <v>oad02</v>
      </c>
      <c r="AE144" s="10" t="str">
        <f t="shared" si="118"/>
        <v>Finance &amp; Procurement / Head of Finance &amp; Procurement</v>
      </c>
      <c r="AG144" s="10" t="str">
        <f t="shared" si="119"/>
        <v>21706/1300</v>
      </c>
      <c r="AI144" s="10" t="str">
        <f t="shared" si="114"/>
        <v>13trans</v>
      </c>
      <c r="AJ144" s="15" t="str">
        <f t="shared" si="120"/>
        <v>Annual order for 2016-2017</v>
      </c>
      <c r="AK144" s="10" t="str">
        <f t="shared" si="108"/>
        <v>Revenue</v>
      </c>
      <c r="AL144" s="10" t="str">
        <f>""</f>
        <v/>
      </c>
      <c r="AM144" s="10" t="str">
        <f>""</f>
        <v/>
      </c>
      <c r="AN144" s="10" t="str">
        <f>""</f>
        <v/>
      </c>
      <c r="AO144" s="10" t="str">
        <f>""</f>
        <v/>
      </c>
    </row>
    <row r="145" spans="1:41" s="10" customFormat="1" ht="409.6">
      <c r="A145" s="9"/>
      <c r="B145" s="9"/>
      <c r="C145" s="9"/>
      <c r="D145" s="10" t="str">
        <f>"29031"</f>
        <v>29031</v>
      </c>
      <c r="E145" s="11" t="str">
        <f>""</f>
        <v/>
      </c>
      <c r="F145" s="11" t="str">
        <f t="shared" si="100"/>
        <v>372418</v>
      </c>
      <c r="G145" s="11" t="str">
        <f t="shared" si="101"/>
        <v>2017toJAN</v>
      </c>
      <c r="H145" s="11" t="str">
        <f t="shared" si="102"/>
        <v>CRSP06B</v>
      </c>
      <c r="I145" s="11" t="str">
        <f t="shared" si="103"/>
        <v>34</v>
      </c>
      <c r="J145" s="11" t="str">
        <f t="shared" si="104"/>
        <v>Creditor</v>
      </c>
      <c r="K145" s="11" t="str">
        <f t="shared" si="115"/>
        <v>CS001107</v>
      </c>
      <c r="L145" s="10" t="str">
        <f t="shared" si="116"/>
        <v>Dennis Eagle</v>
      </c>
      <c r="M145" s="12" t="str">
        <f>"11/01/2017 00:00:00"</f>
        <v>11/01/2017 00:00:00</v>
      </c>
      <c r="N145" s="12">
        <v>42746</v>
      </c>
      <c r="O145" s="10" t="str">
        <f>"C007710"</f>
        <v>C007710</v>
      </c>
      <c r="P145" s="13">
        <v>537.14</v>
      </c>
      <c r="Q145" s="11" t="str">
        <f>"537.1400"</f>
        <v>537.1400</v>
      </c>
      <c r="R145" s="10" t="str">
        <f>"C0004360"</f>
        <v>C0004360</v>
      </c>
      <c r="S145" s="14" t="str">
        <f>"811.9100"</f>
        <v>811.9100</v>
      </c>
      <c r="T145" s="10">
        <v>21706</v>
      </c>
      <c r="U145" s="10">
        <v>1300</v>
      </c>
      <c r="V145" s="10" t="str">
        <f t="shared" si="117"/>
        <v>Direct transport costs</v>
      </c>
      <c r="W145" s="10" t="str">
        <f t="shared" si="113"/>
        <v>Transport Related Expenditure</v>
      </c>
      <c r="X145" s="10" t="str">
        <f>VLOOKUP(U145,'[1]Account code lookup'!A:B,2,0)</f>
        <v>Vehicle Repair &amp; Maintenance</v>
      </c>
      <c r="Z145" s="10" t="str">
        <f t="shared" si="109"/>
        <v>Environmental Services</v>
      </c>
      <c r="AA145" s="10" t="str">
        <f t="shared" si="110"/>
        <v>Operations and Delivery</v>
      </c>
      <c r="AB145" s="10" t="str">
        <f t="shared" si="111"/>
        <v>5oad</v>
      </c>
      <c r="AD145" s="10" t="str">
        <f t="shared" si="112"/>
        <v>oad02</v>
      </c>
      <c r="AE145" s="10" t="str">
        <f t="shared" si="118"/>
        <v>Finance &amp; Procurement / Head of Finance &amp; Procurement</v>
      </c>
      <c r="AG145" s="10" t="str">
        <f t="shared" si="119"/>
        <v>21706/1300</v>
      </c>
      <c r="AI145" s="10" t="str">
        <f t="shared" si="114"/>
        <v>13trans</v>
      </c>
      <c r="AJ145" s="15" t="str">
        <f t="shared" si="120"/>
        <v>Annual order for 2016-2017</v>
      </c>
      <c r="AK145" s="10" t="str">
        <f t="shared" si="108"/>
        <v>Revenue</v>
      </c>
      <c r="AL145" s="10" t="str">
        <f>""</f>
        <v/>
      </c>
      <c r="AM145" s="10" t="str">
        <f>""</f>
        <v/>
      </c>
      <c r="AN145" s="10" t="str">
        <f>""</f>
        <v/>
      </c>
      <c r="AO145" s="10" t="str">
        <f>""</f>
        <v/>
      </c>
    </row>
    <row r="146" spans="1:41" s="10" customFormat="1" ht="409.6">
      <c r="A146" s="9"/>
      <c r="B146" s="9"/>
      <c r="C146" s="9"/>
      <c r="D146" s="10" t="str">
        <f>"29032"</f>
        <v>29032</v>
      </c>
      <c r="E146" s="11" t="str">
        <f>""</f>
        <v/>
      </c>
      <c r="F146" s="11" t="str">
        <f t="shared" si="100"/>
        <v>372418</v>
      </c>
      <c r="G146" s="11" t="str">
        <f t="shared" si="101"/>
        <v>2017toJAN</v>
      </c>
      <c r="H146" s="11" t="str">
        <f t="shared" si="102"/>
        <v>CRSP06B</v>
      </c>
      <c r="I146" s="11" t="str">
        <f t="shared" si="103"/>
        <v>34</v>
      </c>
      <c r="J146" s="11" t="str">
        <f t="shared" si="104"/>
        <v>Creditor</v>
      </c>
      <c r="K146" s="11" t="str">
        <f t="shared" si="115"/>
        <v>CS001107</v>
      </c>
      <c r="L146" s="10" t="str">
        <f t="shared" si="116"/>
        <v>Dennis Eagle</v>
      </c>
      <c r="M146" s="12" t="str">
        <f>"11/01/2017 00:00:00"</f>
        <v>11/01/2017 00:00:00</v>
      </c>
      <c r="N146" s="12">
        <v>42746</v>
      </c>
      <c r="O146" s="10" t="str">
        <f>"C007838"</f>
        <v>C007838</v>
      </c>
      <c r="P146" s="13">
        <v>139.44999999999999</v>
      </c>
      <c r="Q146" s="11" t="str">
        <f>"139.4500"</f>
        <v>139.4500</v>
      </c>
      <c r="R146" s="10" t="str">
        <f>"C0004360"</f>
        <v>C0004360</v>
      </c>
      <c r="S146" s="14" t="str">
        <f>"811.9100"</f>
        <v>811.9100</v>
      </c>
      <c r="T146" s="10">
        <v>21706</v>
      </c>
      <c r="U146" s="10">
        <v>1300</v>
      </c>
      <c r="V146" s="10" t="str">
        <f t="shared" si="117"/>
        <v>Direct transport costs</v>
      </c>
      <c r="W146" s="10" t="str">
        <f t="shared" si="113"/>
        <v>Transport Related Expenditure</v>
      </c>
      <c r="X146" s="10" t="str">
        <f>VLOOKUP(U146,'[1]Account code lookup'!A:B,2,0)</f>
        <v>Vehicle Repair &amp; Maintenance</v>
      </c>
      <c r="Z146" s="10" t="str">
        <f t="shared" si="109"/>
        <v>Environmental Services</v>
      </c>
      <c r="AA146" s="10" t="str">
        <f t="shared" si="110"/>
        <v>Operations and Delivery</v>
      </c>
      <c r="AB146" s="10" t="str">
        <f t="shared" si="111"/>
        <v>5oad</v>
      </c>
      <c r="AD146" s="10" t="str">
        <f t="shared" si="112"/>
        <v>oad02</v>
      </c>
      <c r="AE146" s="10" t="str">
        <f t="shared" si="118"/>
        <v>Finance &amp; Procurement / Head of Finance &amp; Procurement</v>
      </c>
      <c r="AG146" s="10" t="str">
        <f t="shared" si="119"/>
        <v>21706/1300</v>
      </c>
      <c r="AI146" s="10" t="str">
        <f t="shared" si="114"/>
        <v>13trans</v>
      </c>
      <c r="AJ146" s="15" t="str">
        <f t="shared" si="120"/>
        <v>Annual order for 2016-2017</v>
      </c>
      <c r="AK146" s="10" t="str">
        <f t="shared" si="108"/>
        <v>Revenue</v>
      </c>
      <c r="AL146" s="10" t="str">
        <f>""</f>
        <v/>
      </c>
      <c r="AM146" s="10" t="str">
        <f>""</f>
        <v/>
      </c>
      <c r="AN146" s="10" t="str">
        <f>""</f>
        <v/>
      </c>
      <c r="AO146" s="10" t="str">
        <f>""</f>
        <v/>
      </c>
    </row>
    <row r="147" spans="1:41" s="10" customFormat="1" ht="409.6">
      <c r="A147" s="9"/>
      <c r="B147" s="9"/>
      <c r="C147" s="9"/>
      <c r="D147" s="10" t="str">
        <f>"29033"</f>
        <v>29033</v>
      </c>
      <c r="E147" s="11" t="str">
        <f>""</f>
        <v/>
      </c>
      <c r="F147" s="11" t="str">
        <f t="shared" si="100"/>
        <v>372418</v>
      </c>
      <c r="G147" s="11" t="str">
        <f t="shared" si="101"/>
        <v>2017toJAN</v>
      </c>
      <c r="H147" s="11" t="str">
        <f t="shared" si="102"/>
        <v>CRSP06B</v>
      </c>
      <c r="I147" s="11" t="str">
        <f t="shared" si="103"/>
        <v>34</v>
      </c>
      <c r="J147" s="11" t="str">
        <f t="shared" si="104"/>
        <v>Creditor</v>
      </c>
      <c r="K147" s="11" t="str">
        <f t="shared" si="115"/>
        <v>CS001107</v>
      </c>
      <c r="L147" s="10" t="str">
        <f t="shared" si="116"/>
        <v>Dennis Eagle</v>
      </c>
      <c r="M147" s="12" t="str">
        <f>"18/01/2017 00:00:00"</f>
        <v>18/01/2017 00:00:00</v>
      </c>
      <c r="N147" s="12">
        <v>42753</v>
      </c>
      <c r="O147" s="10" t="str">
        <f>"C007933"</f>
        <v>C007933</v>
      </c>
      <c r="P147" s="13">
        <v>37.99</v>
      </c>
      <c r="Q147" s="11" t="str">
        <f>"37.9900"</f>
        <v>37.9900</v>
      </c>
      <c r="R147" s="10" t="str">
        <f>"C0004474"</f>
        <v>C0004474</v>
      </c>
      <c r="S147" s="14" t="str">
        <f>"780.5700"</f>
        <v>780.5700</v>
      </c>
      <c r="T147" s="10">
        <v>21706</v>
      </c>
      <c r="U147" s="10">
        <v>1300</v>
      </c>
      <c r="V147" s="10" t="str">
        <f t="shared" si="117"/>
        <v>Direct transport costs</v>
      </c>
      <c r="W147" s="10" t="str">
        <f t="shared" si="113"/>
        <v>Transport Related Expenditure</v>
      </c>
      <c r="X147" s="10" t="str">
        <f>VLOOKUP(U147,'[1]Account code lookup'!A:B,2,0)</f>
        <v>Vehicle Repair &amp; Maintenance</v>
      </c>
      <c r="Z147" s="10" t="str">
        <f t="shared" si="109"/>
        <v>Environmental Services</v>
      </c>
      <c r="AA147" s="10" t="str">
        <f t="shared" si="110"/>
        <v>Operations and Delivery</v>
      </c>
      <c r="AB147" s="10" t="str">
        <f t="shared" si="111"/>
        <v>5oad</v>
      </c>
      <c r="AD147" s="10" t="str">
        <f t="shared" si="112"/>
        <v>oad02</v>
      </c>
      <c r="AE147" s="10" t="str">
        <f t="shared" si="118"/>
        <v>Finance &amp; Procurement / Head of Finance &amp; Procurement</v>
      </c>
      <c r="AG147" s="10" t="str">
        <f t="shared" si="119"/>
        <v>21706/1300</v>
      </c>
      <c r="AI147" s="10" t="str">
        <f t="shared" si="114"/>
        <v>13trans</v>
      </c>
      <c r="AJ147" s="15" t="str">
        <f t="shared" si="120"/>
        <v>Annual order for 2016-2017</v>
      </c>
      <c r="AK147" s="10" t="str">
        <f t="shared" si="108"/>
        <v>Revenue</v>
      </c>
      <c r="AL147" s="10" t="str">
        <f>""</f>
        <v/>
      </c>
      <c r="AM147" s="10" t="str">
        <f>""</f>
        <v/>
      </c>
      <c r="AN147" s="10" t="str">
        <f>""</f>
        <v/>
      </c>
      <c r="AO147" s="10" t="str">
        <f>""</f>
        <v/>
      </c>
    </row>
    <row r="148" spans="1:41" s="10" customFormat="1" ht="409.6">
      <c r="A148" s="9"/>
      <c r="B148" s="9"/>
      <c r="C148" s="9"/>
      <c r="D148" s="10" t="str">
        <f>"29034"</f>
        <v>29034</v>
      </c>
      <c r="E148" s="11" t="str">
        <f>""</f>
        <v/>
      </c>
      <c r="F148" s="11" t="str">
        <f t="shared" si="100"/>
        <v>372418</v>
      </c>
      <c r="G148" s="11" t="str">
        <f t="shared" si="101"/>
        <v>2017toJAN</v>
      </c>
      <c r="H148" s="11" t="str">
        <f t="shared" si="102"/>
        <v>CRSP06B</v>
      </c>
      <c r="I148" s="11" t="str">
        <f t="shared" si="103"/>
        <v>34</v>
      </c>
      <c r="J148" s="11" t="str">
        <f t="shared" si="104"/>
        <v>Creditor</v>
      </c>
      <c r="K148" s="11" t="str">
        <f t="shared" si="115"/>
        <v>CS001107</v>
      </c>
      <c r="L148" s="10" t="str">
        <f t="shared" si="116"/>
        <v>Dennis Eagle</v>
      </c>
      <c r="M148" s="12" t="str">
        <f>"18/01/2017 00:00:00"</f>
        <v>18/01/2017 00:00:00</v>
      </c>
      <c r="N148" s="12">
        <v>42753</v>
      </c>
      <c r="O148" s="10" t="str">
        <f>"C007956"</f>
        <v>C007956</v>
      </c>
      <c r="P148" s="13">
        <v>612.48</v>
      </c>
      <c r="Q148" s="11" t="str">
        <f>"612.4800"</f>
        <v>612.4800</v>
      </c>
      <c r="R148" s="10" t="str">
        <f>"C0004474"</f>
        <v>C0004474</v>
      </c>
      <c r="S148" s="14" t="str">
        <f>"780.5700"</f>
        <v>780.5700</v>
      </c>
      <c r="T148" s="10">
        <v>21706</v>
      </c>
      <c r="U148" s="10">
        <v>1300</v>
      </c>
      <c r="V148" s="10" t="str">
        <f t="shared" si="117"/>
        <v>Direct transport costs</v>
      </c>
      <c r="W148" s="10" t="str">
        <f t="shared" si="113"/>
        <v>Transport Related Expenditure</v>
      </c>
      <c r="X148" s="10" t="str">
        <f>VLOOKUP(U148,'[1]Account code lookup'!A:B,2,0)</f>
        <v>Vehicle Repair &amp; Maintenance</v>
      </c>
      <c r="Z148" s="10" t="str">
        <f t="shared" si="109"/>
        <v>Environmental Services</v>
      </c>
      <c r="AA148" s="10" t="str">
        <f t="shared" si="110"/>
        <v>Operations and Delivery</v>
      </c>
      <c r="AB148" s="10" t="str">
        <f t="shared" si="111"/>
        <v>5oad</v>
      </c>
      <c r="AD148" s="10" t="str">
        <f t="shared" si="112"/>
        <v>oad02</v>
      </c>
      <c r="AE148" s="10" t="str">
        <f t="shared" si="118"/>
        <v>Finance &amp; Procurement / Head of Finance &amp; Procurement</v>
      </c>
      <c r="AG148" s="10" t="str">
        <f t="shared" si="119"/>
        <v>21706/1300</v>
      </c>
      <c r="AI148" s="10" t="str">
        <f t="shared" si="114"/>
        <v>13trans</v>
      </c>
      <c r="AJ148" s="15" t="str">
        <f t="shared" si="120"/>
        <v>Annual order for 2016-2017</v>
      </c>
      <c r="AK148" s="10" t="str">
        <f t="shared" si="108"/>
        <v>Revenue</v>
      </c>
      <c r="AL148" s="10" t="str">
        <f>""</f>
        <v/>
      </c>
      <c r="AM148" s="10" t="str">
        <f>""</f>
        <v/>
      </c>
      <c r="AN148" s="10" t="str">
        <f>""</f>
        <v/>
      </c>
      <c r="AO148" s="10" t="str">
        <f>""</f>
        <v/>
      </c>
    </row>
    <row r="149" spans="1:41" s="10" customFormat="1" ht="409.6">
      <c r="A149" s="9"/>
      <c r="B149" s="9"/>
      <c r="C149" s="9"/>
      <c r="D149" s="10" t="str">
        <f>"29035"</f>
        <v>29035</v>
      </c>
      <c r="E149" s="11" t="str">
        <f>""</f>
        <v/>
      </c>
      <c r="F149" s="11" t="str">
        <f t="shared" si="100"/>
        <v>372418</v>
      </c>
      <c r="G149" s="11" t="str">
        <f t="shared" si="101"/>
        <v>2017toJAN</v>
      </c>
      <c r="H149" s="11" t="str">
        <f t="shared" si="102"/>
        <v>CRSP06B</v>
      </c>
      <c r="I149" s="11" t="str">
        <f t="shared" si="103"/>
        <v>34</v>
      </c>
      <c r="J149" s="11" t="str">
        <f t="shared" si="104"/>
        <v>Creditor</v>
      </c>
      <c r="K149" s="11" t="str">
        <f t="shared" si="115"/>
        <v>CS001107</v>
      </c>
      <c r="L149" s="10" t="str">
        <f t="shared" si="116"/>
        <v>Dennis Eagle</v>
      </c>
      <c r="M149" s="12" t="str">
        <f>"23/01/2017 00:00:00"</f>
        <v>23/01/2017 00:00:00</v>
      </c>
      <c r="N149" s="12">
        <v>42758</v>
      </c>
      <c r="O149" s="10" t="str">
        <f>"C008056"</f>
        <v>C008056</v>
      </c>
      <c r="P149" s="13">
        <v>281.45</v>
      </c>
      <c r="Q149" s="11" t="str">
        <f>"281.4500"</f>
        <v>281.4500</v>
      </c>
      <c r="R149" s="10" t="str">
        <f>"C0004529"</f>
        <v>C0004529</v>
      </c>
      <c r="S149" s="14" t="str">
        <f>"907.5500"</f>
        <v>907.5500</v>
      </c>
      <c r="T149" s="10">
        <v>21706</v>
      </c>
      <c r="U149" s="10">
        <v>1300</v>
      </c>
      <c r="V149" s="10" t="str">
        <f t="shared" si="117"/>
        <v>Direct transport costs</v>
      </c>
      <c r="W149" s="10" t="str">
        <f t="shared" si="113"/>
        <v>Transport Related Expenditure</v>
      </c>
      <c r="X149" s="10" t="str">
        <f>VLOOKUP(U149,'[1]Account code lookup'!A:B,2,0)</f>
        <v>Vehicle Repair &amp; Maintenance</v>
      </c>
      <c r="Z149" s="10" t="str">
        <f t="shared" si="109"/>
        <v>Environmental Services</v>
      </c>
      <c r="AA149" s="10" t="str">
        <f t="shared" si="110"/>
        <v>Operations and Delivery</v>
      </c>
      <c r="AB149" s="10" t="str">
        <f t="shared" si="111"/>
        <v>5oad</v>
      </c>
      <c r="AD149" s="10" t="str">
        <f t="shared" si="112"/>
        <v>oad02</v>
      </c>
      <c r="AE149" s="10" t="str">
        <f t="shared" si="118"/>
        <v>Finance &amp; Procurement / Head of Finance &amp; Procurement</v>
      </c>
      <c r="AG149" s="10" t="str">
        <f t="shared" si="119"/>
        <v>21706/1300</v>
      </c>
      <c r="AI149" s="10" t="str">
        <f t="shared" si="114"/>
        <v>13trans</v>
      </c>
      <c r="AJ149" s="15" t="str">
        <f t="shared" si="120"/>
        <v>Annual order for 2016-2017</v>
      </c>
      <c r="AK149" s="10" t="str">
        <f t="shared" si="108"/>
        <v>Revenue</v>
      </c>
      <c r="AL149" s="10" t="str">
        <f>""</f>
        <v/>
      </c>
      <c r="AM149" s="10" t="str">
        <f>""</f>
        <v/>
      </c>
      <c r="AN149" s="10" t="str">
        <f>""</f>
        <v/>
      </c>
      <c r="AO149" s="10" t="str">
        <f>""</f>
        <v/>
      </c>
    </row>
    <row r="150" spans="1:41" s="10" customFormat="1" ht="409.6">
      <c r="A150" s="9"/>
      <c r="B150" s="9"/>
      <c r="C150" s="9"/>
      <c r="D150" s="10" t="str">
        <f>"29036"</f>
        <v>29036</v>
      </c>
      <c r="E150" s="11" t="str">
        <f>""</f>
        <v/>
      </c>
      <c r="F150" s="11" t="str">
        <f t="shared" si="100"/>
        <v>372418</v>
      </c>
      <c r="G150" s="11" t="str">
        <f t="shared" si="101"/>
        <v>2017toJAN</v>
      </c>
      <c r="H150" s="11" t="str">
        <f t="shared" si="102"/>
        <v>CRSP06B</v>
      </c>
      <c r="I150" s="11" t="str">
        <f t="shared" si="103"/>
        <v>34</v>
      </c>
      <c r="J150" s="11" t="str">
        <f t="shared" si="104"/>
        <v>Creditor</v>
      </c>
      <c r="K150" s="11" t="str">
        <f t="shared" si="115"/>
        <v>CS001107</v>
      </c>
      <c r="L150" s="10" t="str">
        <f t="shared" si="116"/>
        <v>Dennis Eagle</v>
      </c>
      <c r="M150" s="12" t="str">
        <f>"23/01/2017 00:00:00"</f>
        <v>23/01/2017 00:00:00</v>
      </c>
      <c r="N150" s="12">
        <v>42758</v>
      </c>
      <c r="O150" s="10" t="str">
        <f>"C008057"</f>
        <v>C008057</v>
      </c>
      <c r="P150" s="13">
        <v>474.84</v>
      </c>
      <c r="Q150" s="11" t="str">
        <f>"474.8400"</f>
        <v>474.8400</v>
      </c>
      <c r="R150" s="10" t="str">
        <f>"C0004529"</f>
        <v>C0004529</v>
      </c>
      <c r="S150" s="14" t="str">
        <f>"907.5500"</f>
        <v>907.5500</v>
      </c>
      <c r="T150" s="10">
        <v>21706</v>
      </c>
      <c r="U150" s="10">
        <v>1300</v>
      </c>
      <c r="V150" s="10" t="str">
        <f t="shared" si="117"/>
        <v>Direct transport costs</v>
      </c>
      <c r="W150" s="10" t="str">
        <f t="shared" si="113"/>
        <v>Transport Related Expenditure</v>
      </c>
      <c r="X150" s="10" t="str">
        <f>VLOOKUP(U150,'[1]Account code lookup'!A:B,2,0)</f>
        <v>Vehicle Repair &amp; Maintenance</v>
      </c>
      <c r="Z150" s="10" t="str">
        <f t="shared" si="109"/>
        <v>Environmental Services</v>
      </c>
      <c r="AA150" s="10" t="str">
        <f t="shared" si="110"/>
        <v>Operations and Delivery</v>
      </c>
      <c r="AB150" s="10" t="str">
        <f t="shared" si="111"/>
        <v>5oad</v>
      </c>
      <c r="AD150" s="10" t="str">
        <f t="shared" si="112"/>
        <v>oad02</v>
      </c>
      <c r="AE150" s="10" t="str">
        <f t="shared" si="118"/>
        <v>Finance &amp; Procurement / Head of Finance &amp; Procurement</v>
      </c>
      <c r="AG150" s="10" t="str">
        <f t="shared" si="119"/>
        <v>21706/1300</v>
      </c>
      <c r="AI150" s="10" t="str">
        <f t="shared" si="114"/>
        <v>13trans</v>
      </c>
      <c r="AJ150" s="15" t="str">
        <f t="shared" si="120"/>
        <v>Annual order for 2016-2017</v>
      </c>
      <c r="AK150" s="10" t="str">
        <f t="shared" si="108"/>
        <v>Revenue</v>
      </c>
      <c r="AL150" s="10" t="str">
        <f>""</f>
        <v/>
      </c>
      <c r="AM150" s="10" t="str">
        <f>""</f>
        <v/>
      </c>
      <c r="AN150" s="10" t="str">
        <f>""</f>
        <v/>
      </c>
      <c r="AO150" s="10" t="str">
        <f>""</f>
        <v/>
      </c>
    </row>
    <row r="151" spans="1:41" s="10" customFormat="1" ht="409.6">
      <c r="A151" s="9"/>
      <c r="B151" s="9"/>
      <c r="C151" s="9"/>
      <c r="D151" s="10" t="str">
        <f>"29037"</f>
        <v>29037</v>
      </c>
      <c r="E151" s="11" t="str">
        <f>""</f>
        <v/>
      </c>
      <c r="F151" s="11" t="str">
        <f t="shared" si="100"/>
        <v>372418</v>
      </c>
      <c r="G151" s="11" t="str">
        <f t="shared" si="101"/>
        <v>2017toJAN</v>
      </c>
      <c r="H151" s="11" t="str">
        <f t="shared" si="102"/>
        <v>CRSP06B</v>
      </c>
      <c r="I151" s="11" t="str">
        <f t="shared" si="103"/>
        <v>34</v>
      </c>
      <c r="J151" s="11" t="str">
        <f t="shared" si="104"/>
        <v>Creditor</v>
      </c>
      <c r="K151" s="11" t="str">
        <f t="shared" si="115"/>
        <v>CS001107</v>
      </c>
      <c r="L151" s="10" t="str">
        <f t="shared" si="116"/>
        <v>Dennis Eagle</v>
      </c>
      <c r="M151" s="12" t="str">
        <f t="shared" ref="M151:M158" si="121">"27/01/2017 00:00:00"</f>
        <v>27/01/2017 00:00:00</v>
      </c>
      <c r="N151" s="12">
        <v>42762</v>
      </c>
      <c r="O151" s="10" t="str">
        <f>"C008159"</f>
        <v>C008159</v>
      </c>
      <c r="P151" s="13">
        <v>88.51</v>
      </c>
      <c r="Q151" s="11" t="str">
        <f>"88.5100"</f>
        <v>88.5100</v>
      </c>
      <c r="R151" s="10" t="str">
        <f t="shared" ref="R151:R158" si="122">"C0004594"</f>
        <v>C0004594</v>
      </c>
      <c r="S151" s="14" t="str">
        <f t="shared" ref="S151:S158" si="123">"9505.8800"</f>
        <v>9505.8800</v>
      </c>
      <c r="T151" s="10">
        <v>21706</v>
      </c>
      <c r="U151" s="10">
        <v>1300</v>
      </c>
      <c r="V151" s="10" t="str">
        <f t="shared" si="117"/>
        <v>Direct transport costs</v>
      </c>
      <c r="W151" s="10" t="str">
        <f t="shared" si="113"/>
        <v>Transport Related Expenditure</v>
      </c>
      <c r="X151" s="10" t="str">
        <f>VLOOKUP(U151,'[1]Account code lookup'!A:B,2,0)</f>
        <v>Vehicle Repair &amp; Maintenance</v>
      </c>
      <c r="Z151" s="10" t="str">
        <f t="shared" si="109"/>
        <v>Environmental Services</v>
      </c>
      <c r="AA151" s="10" t="str">
        <f t="shared" si="110"/>
        <v>Operations and Delivery</v>
      </c>
      <c r="AB151" s="10" t="str">
        <f t="shared" si="111"/>
        <v>5oad</v>
      </c>
      <c r="AD151" s="10" t="str">
        <f t="shared" si="112"/>
        <v>oad02</v>
      </c>
      <c r="AE151" s="10" t="str">
        <f t="shared" si="118"/>
        <v>Finance &amp; Procurement / Head of Finance &amp; Procurement</v>
      </c>
      <c r="AG151" s="10" t="str">
        <f t="shared" si="119"/>
        <v>21706/1300</v>
      </c>
      <c r="AI151" s="10" t="str">
        <f t="shared" si="114"/>
        <v>13trans</v>
      </c>
      <c r="AJ151" s="15" t="str">
        <f t="shared" si="120"/>
        <v>Annual order for 2016-2017</v>
      </c>
      <c r="AK151" s="10" t="str">
        <f t="shared" si="108"/>
        <v>Revenue</v>
      </c>
      <c r="AL151" s="10" t="str">
        <f>""</f>
        <v/>
      </c>
      <c r="AM151" s="10" t="str">
        <f>""</f>
        <v/>
      </c>
      <c r="AN151" s="10" t="str">
        <f>""</f>
        <v/>
      </c>
      <c r="AO151" s="10" t="str">
        <f>""</f>
        <v/>
      </c>
    </row>
    <row r="152" spans="1:41" s="10" customFormat="1" ht="409.6">
      <c r="A152" s="9"/>
      <c r="B152" s="9"/>
      <c r="C152" s="9"/>
      <c r="D152" s="10" t="str">
        <f>"29038"</f>
        <v>29038</v>
      </c>
      <c r="E152" s="11" t="str">
        <f>""</f>
        <v/>
      </c>
      <c r="F152" s="11" t="str">
        <f t="shared" si="100"/>
        <v>372418</v>
      </c>
      <c r="G152" s="11" t="str">
        <f t="shared" si="101"/>
        <v>2017toJAN</v>
      </c>
      <c r="H152" s="11" t="str">
        <f t="shared" si="102"/>
        <v>CRSP06B</v>
      </c>
      <c r="I152" s="11" t="str">
        <f t="shared" si="103"/>
        <v>34</v>
      </c>
      <c r="J152" s="11" t="str">
        <f t="shared" si="104"/>
        <v>Creditor</v>
      </c>
      <c r="K152" s="11" t="str">
        <f t="shared" si="115"/>
        <v>CS001107</v>
      </c>
      <c r="L152" s="10" t="str">
        <f t="shared" si="116"/>
        <v>Dennis Eagle</v>
      </c>
      <c r="M152" s="12" t="str">
        <f t="shared" si="121"/>
        <v>27/01/2017 00:00:00</v>
      </c>
      <c r="N152" s="12">
        <v>42762</v>
      </c>
      <c r="O152" s="10" t="str">
        <f>"C008160"</f>
        <v>C008160</v>
      </c>
      <c r="P152" s="13">
        <v>971.09</v>
      </c>
      <c r="Q152" s="11" t="str">
        <f>"971.0900"</f>
        <v>971.0900</v>
      </c>
      <c r="R152" s="10" t="str">
        <f t="shared" si="122"/>
        <v>C0004594</v>
      </c>
      <c r="S152" s="14" t="str">
        <f t="shared" si="123"/>
        <v>9505.8800</v>
      </c>
      <c r="T152" s="10">
        <v>21706</v>
      </c>
      <c r="U152" s="10">
        <v>1300</v>
      </c>
      <c r="V152" s="10" t="str">
        <f t="shared" si="117"/>
        <v>Direct transport costs</v>
      </c>
      <c r="W152" s="10" t="str">
        <f t="shared" si="113"/>
        <v>Transport Related Expenditure</v>
      </c>
      <c r="X152" s="10" t="str">
        <f>VLOOKUP(U152,'[1]Account code lookup'!A:B,2,0)</f>
        <v>Vehicle Repair &amp; Maintenance</v>
      </c>
      <c r="Z152" s="10" t="str">
        <f t="shared" si="109"/>
        <v>Environmental Services</v>
      </c>
      <c r="AA152" s="10" t="str">
        <f t="shared" si="110"/>
        <v>Operations and Delivery</v>
      </c>
      <c r="AB152" s="10" t="str">
        <f t="shared" si="111"/>
        <v>5oad</v>
      </c>
      <c r="AD152" s="10" t="str">
        <f t="shared" si="112"/>
        <v>oad02</v>
      </c>
      <c r="AE152" s="10" t="str">
        <f t="shared" si="118"/>
        <v>Finance &amp; Procurement / Head of Finance &amp; Procurement</v>
      </c>
      <c r="AG152" s="10" t="str">
        <f t="shared" si="119"/>
        <v>21706/1300</v>
      </c>
      <c r="AI152" s="10" t="str">
        <f t="shared" si="114"/>
        <v>13trans</v>
      </c>
      <c r="AJ152" s="15" t="str">
        <f t="shared" si="120"/>
        <v>Annual order for 2016-2017</v>
      </c>
      <c r="AK152" s="10" t="str">
        <f t="shared" si="108"/>
        <v>Revenue</v>
      </c>
      <c r="AL152" s="10" t="str">
        <f>""</f>
        <v/>
      </c>
      <c r="AM152" s="10" t="str">
        <f>""</f>
        <v/>
      </c>
      <c r="AN152" s="10" t="str">
        <f>""</f>
        <v/>
      </c>
      <c r="AO152" s="10" t="str">
        <f>""</f>
        <v/>
      </c>
    </row>
    <row r="153" spans="1:41" s="10" customFormat="1" ht="409.6">
      <c r="A153" s="9"/>
      <c r="B153" s="9"/>
      <c r="C153" s="9"/>
      <c r="D153" s="10" t="str">
        <f>"29039"</f>
        <v>29039</v>
      </c>
      <c r="E153" s="11" t="str">
        <f>""</f>
        <v/>
      </c>
      <c r="F153" s="11" t="str">
        <f t="shared" si="100"/>
        <v>372418</v>
      </c>
      <c r="G153" s="11" t="str">
        <f t="shared" si="101"/>
        <v>2017toJAN</v>
      </c>
      <c r="H153" s="11" t="str">
        <f t="shared" si="102"/>
        <v>CRSP06B</v>
      </c>
      <c r="I153" s="11" t="str">
        <f t="shared" si="103"/>
        <v>34</v>
      </c>
      <c r="J153" s="11" t="str">
        <f t="shared" si="104"/>
        <v>Creditor</v>
      </c>
      <c r="K153" s="11" t="str">
        <f t="shared" si="115"/>
        <v>CS001107</v>
      </c>
      <c r="L153" s="10" t="str">
        <f t="shared" si="116"/>
        <v>Dennis Eagle</v>
      </c>
      <c r="M153" s="12" t="str">
        <f t="shared" si="121"/>
        <v>27/01/2017 00:00:00</v>
      </c>
      <c r="N153" s="12">
        <v>42762</v>
      </c>
      <c r="O153" s="10" t="str">
        <f>"C008165"</f>
        <v>C008165</v>
      </c>
      <c r="P153" s="13">
        <v>3159.4</v>
      </c>
      <c r="Q153" s="11" t="str">
        <f>"3159.4000"</f>
        <v>3159.4000</v>
      </c>
      <c r="R153" s="10" t="str">
        <f t="shared" si="122"/>
        <v>C0004594</v>
      </c>
      <c r="S153" s="14" t="str">
        <f t="shared" si="123"/>
        <v>9505.8800</v>
      </c>
      <c r="T153" s="10">
        <v>21706</v>
      </c>
      <c r="U153" s="10">
        <v>1300</v>
      </c>
      <c r="V153" s="10" t="str">
        <f t="shared" si="117"/>
        <v>Direct transport costs</v>
      </c>
      <c r="W153" s="10" t="str">
        <f t="shared" si="113"/>
        <v>Transport Related Expenditure</v>
      </c>
      <c r="X153" s="10" t="str">
        <f>VLOOKUP(U153,'[1]Account code lookup'!A:B,2,0)</f>
        <v>Vehicle Repair &amp; Maintenance</v>
      </c>
      <c r="Z153" s="10" t="str">
        <f t="shared" si="109"/>
        <v>Environmental Services</v>
      </c>
      <c r="AA153" s="10" t="str">
        <f t="shared" si="110"/>
        <v>Operations and Delivery</v>
      </c>
      <c r="AB153" s="10" t="str">
        <f t="shared" si="111"/>
        <v>5oad</v>
      </c>
      <c r="AD153" s="10" t="str">
        <f t="shared" si="112"/>
        <v>oad02</v>
      </c>
      <c r="AE153" s="10" t="str">
        <f t="shared" si="118"/>
        <v>Finance &amp; Procurement / Head of Finance &amp; Procurement</v>
      </c>
      <c r="AG153" s="10" t="str">
        <f t="shared" si="119"/>
        <v>21706/1300</v>
      </c>
      <c r="AI153" s="10" t="str">
        <f t="shared" si="114"/>
        <v>13trans</v>
      </c>
      <c r="AJ153" s="15" t="str">
        <f t="shared" si="120"/>
        <v>Annual order for 2016-2017</v>
      </c>
      <c r="AK153" s="10" t="str">
        <f t="shared" si="108"/>
        <v>Revenue</v>
      </c>
      <c r="AL153" s="10" t="str">
        <f>""</f>
        <v/>
      </c>
      <c r="AM153" s="10" t="str">
        <f>""</f>
        <v/>
      </c>
      <c r="AN153" s="10" t="str">
        <f>""</f>
        <v/>
      </c>
      <c r="AO153" s="10" t="str">
        <f>""</f>
        <v/>
      </c>
    </row>
    <row r="154" spans="1:41" s="10" customFormat="1" ht="409.6">
      <c r="A154" s="9"/>
      <c r="B154" s="9"/>
      <c r="C154" s="9"/>
      <c r="D154" s="10" t="str">
        <f>"29085"</f>
        <v>29085</v>
      </c>
      <c r="E154" s="11" t="str">
        <f>""</f>
        <v/>
      </c>
      <c r="F154" s="11" t="str">
        <f t="shared" si="100"/>
        <v>372418</v>
      </c>
      <c r="G154" s="11" t="str">
        <f t="shared" si="101"/>
        <v>2017toJAN</v>
      </c>
      <c r="H154" s="11" t="str">
        <f t="shared" si="102"/>
        <v>CRSP06B</v>
      </c>
      <c r="I154" s="11" t="str">
        <f t="shared" si="103"/>
        <v>34</v>
      </c>
      <c r="J154" s="11" t="str">
        <f t="shared" si="104"/>
        <v>Creditor</v>
      </c>
      <c r="K154" s="11" t="str">
        <f t="shared" si="115"/>
        <v>CS001107</v>
      </c>
      <c r="L154" s="10" t="str">
        <f t="shared" si="116"/>
        <v>Dennis Eagle</v>
      </c>
      <c r="M154" s="12" t="str">
        <f t="shared" si="121"/>
        <v>27/01/2017 00:00:00</v>
      </c>
      <c r="N154" s="12">
        <v>42762</v>
      </c>
      <c r="O154" s="10" t="str">
        <f>"C008168"</f>
        <v>C008168</v>
      </c>
      <c r="P154" s="13">
        <v>2652.22</v>
      </c>
      <c r="Q154" s="11" t="str">
        <f>"2652.2200"</f>
        <v>2652.2200</v>
      </c>
      <c r="R154" s="10" t="str">
        <f t="shared" si="122"/>
        <v>C0004594</v>
      </c>
      <c r="S154" s="14" t="str">
        <f t="shared" si="123"/>
        <v>9505.8800</v>
      </c>
      <c r="T154" s="10">
        <v>21706</v>
      </c>
      <c r="U154" s="10">
        <v>1300</v>
      </c>
      <c r="V154" s="10" t="str">
        <f t="shared" si="117"/>
        <v>Direct transport costs</v>
      </c>
      <c r="W154" s="10" t="str">
        <f t="shared" si="113"/>
        <v>Transport Related Expenditure</v>
      </c>
      <c r="X154" s="10" t="str">
        <f>VLOOKUP(U154,'[1]Account code lookup'!A:B,2,0)</f>
        <v>Vehicle Repair &amp; Maintenance</v>
      </c>
      <c r="Z154" s="10" t="str">
        <f t="shared" si="109"/>
        <v>Environmental Services</v>
      </c>
      <c r="AA154" s="10" t="str">
        <f t="shared" si="110"/>
        <v>Operations and Delivery</v>
      </c>
      <c r="AB154" s="10" t="str">
        <f t="shared" si="111"/>
        <v>5oad</v>
      </c>
      <c r="AD154" s="10" t="str">
        <f t="shared" si="112"/>
        <v>oad02</v>
      </c>
      <c r="AE154" s="10" t="str">
        <f t="shared" si="118"/>
        <v>Finance &amp; Procurement / Head of Finance &amp; Procurement</v>
      </c>
      <c r="AG154" s="10" t="str">
        <f t="shared" si="119"/>
        <v>21706/1300</v>
      </c>
      <c r="AI154" s="10" t="str">
        <f t="shared" si="114"/>
        <v>13trans</v>
      </c>
      <c r="AJ154" s="15" t="str">
        <f t="shared" si="120"/>
        <v>Annual order for 2016-2017</v>
      </c>
      <c r="AK154" s="10" t="str">
        <f t="shared" si="108"/>
        <v>Revenue</v>
      </c>
      <c r="AL154" s="10" t="str">
        <f>""</f>
        <v/>
      </c>
      <c r="AM154" s="10" t="str">
        <f>""</f>
        <v/>
      </c>
      <c r="AN154" s="10" t="str">
        <f>""</f>
        <v/>
      </c>
      <c r="AO154" s="10" t="str">
        <f>""</f>
        <v/>
      </c>
    </row>
    <row r="155" spans="1:41" s="10" customFormat="1" ht="409.6">
      <c r="A155" s="9"/>
      <c r="B155" s="9"/>
      <c r="C155" s="9"/>
      <c r="D155" s="10" t="str">
        <f>"29442"</f>
        <v>29442</v>
      </c>
      <c r="E155" s="11" t="str">
        <f>""</f>
        <v/>
      </c>
      <c r="F155" s="11" t="str">
        <f t="shared" si="100"/>
        <v>372418</v>
      </c>
      <c r="G155" s="11" t="str">
        <f t="shared" si="101"/>
        <v>2017toJAN</v>
      </c>
      <c r="H155" s="11" t="str">
        <f t="shared" si="102"/>
        <v>CRSP06B</v>
      </c>
      <c r="I155" s="11" t="str">
        <f t="shared" si="103"/>
        <v>34</v>
      </c>
      <c r="J155" s="11" t="str">
        <f t="shared" si="104"/>
        <v>Creditor</v>
      </c>
      <c r="K155" s="11" t="str">
        <f t="shared" si="115"/>
        <v>CS001107</v>
      </c>
      <c r="L155" s="10" t="str">
        <f t="shared" si="116"/>
        <v>Dennis Eagle</v>
      </c>
      <c r="M155" s="12" t="str">
        <f t="shared" si="121"/>
        <v>27/01/2017 00:00:00</v>
      </c>
      <c r="N155" s="12">
        <v>42762</v>
      </c>
      <c r="O155" s="10" t="str">
        <f>"C008174"</f>
        <v>C008174</v>
      </c>
      <c r="P155" s="13">
        <v>414.04</v>
      </c>
      <c r="Q155" s="11" t="str">
        <f>"414.0400"</f>
        <v>414.0400</v>
      </c>
      <c r="R155" s="10" t="str">
        <f t="shared" si="122"/>
        <v>C0004594</v>
      </c>
      <c r="S155" s="14" t="str">
        <f t="shared" si="123"/>
        <v>9505.8800</v>
      </c>
      <c r="T155" s="10">
        <v>21706</v>
      </c>
      <c r="U155" s="10">
        <v>1300</v>
      </c>
      <c r="V155" s="10" t="str">
        <f t="shared" si="117"/>
        <v>Direct transport costs</v>
      </c>
      <c r="W155" s="10" t="str">
        <f t="shared" si="113"/>
        <v>Transport Related Expenditure</v>
      </c>
      <c r="X155" s="10" t="str">
        <f>VLOOKUP(U155,'[1]Account code lookup'!A:B,2,0)</f>
        <v>Vehicle Repair &amp; Maintenance</v>
      </c>
      <c r="Z155" s="10" t="str">
        <f t="shared" si="109"/>
        <v>Environmental Services</v>
      </c>
      <c r="AA155" s="10" t="str">
        <f t="shared" si="110"/>
        <v>Operations and Delivery</v>
      </c>
      <c r="AB155" s="10" t="str">
        <f t="shared" si="111"/>
        <v>5oad</v>
      </c>
      <c r="AD155" s="10" t="str">
        <f t="shared" si="112"/>
        <v>oad02</v>
      </c>
      <c r="AE155" s="10" t="str">
        <f t="shared" si="118"/>
        <v>Finance &amp; Procurement / Head of Finance &amp; Procurement</v>
      </c>
      <c r="AG155" s="10" t="str">
        <f t="shared" si="119"/>
        <v>21706/1300</v>
      </c>
      <c r="AI155" s="10" t="str">
        <f t="shared" si="114"/>
        <v>13trans</v>
      </c>
      <c r="AJ155" s="15" t="str">
        <f t="shared" si="120"/>
        <v>Annual order for 2016-2017</v>
      </c>
      <c r="AK155" s="10" t="str">
        <f t="shared" si="108"/>
        <v>Revenue</v>
      </c>
      <c r="AL155" s="10" t="str">
        <f>""</f>
        <v/>
      </c>
      <c r="AM155" s="10" t="str">
        <f>""</f>
        <v/>
      </c>
      <c r="AN155" s="10" t="str">
        <f>""</f>
        <v/>
      </c>
      <c r="AO155" s="10" t="str">
        <f>""</f>
        <v/>
      </c>
    </row>
    <row r="156" spans="1:41" s="10" customFormat="1" ht="409.6">
      <c r="A156" s="9"/>
      <c r="B156" s="9"/>
      <c r="C156" s="9"/>
      <c r="D156" s="10" t="str">
        <f>"29443"</f>
        <v>29443</v>
      </c>
      <c r="E156" s="11" t="str">
        <f>""</f>
        <v/>
      </c>
      <c r="F156" s="11" t="str">
        <f t="shared" si="100"/>
        <v>372418</v>
      </c>
      <c r="G156" s="11" t="str">
        <f t="shared" si="101"/>
        <v>2017toJAN</v>
      </c>
      <c r="H156" s="11" t="str">
        <f t="shared" si="102"/>
        <v>CRSP06B</v>
      </c>
      <c r="I156" s="11" t="str">
        <f t="shared" si="103"/>
        <v>34</v>
      </c>
      <c r="J156" s="11" t="str">
        <f t="shared" si="104"/>
        <v>Creditor</v>
      </c>
      <c r="K156" s="11" t="str">
        <f t="shared" si="115"/>
        <v>CS001107</v>
      </c>
      <c r="L156" s="10" t="str">
        <f t="shared" si="116"/>
        <v>Dennis Eagle</v>
      </c>
      <c r="M156" s="12" t="str">
        <f t="shared" si="121"/>
        <v>27/01/2017 00:00:00</v>
      </c>
      <c r="N156" s="12">
        <v>42762</v>
      </c>
      <c r="O156" s="10" t="str">
        <f>"C008176"</f>
        <v>C008176</v>
      </c>
      <c r="P156" s="13">
        <v>154.65</v>
      </c>
      <c r="Q156" s="11" t="str">
        <f>"154.6500"</f>
        <v>154.6500</v>
      </c>
      <c r="R156" s="10" t="str">
        <f t="shared" si="122"/>
        <v>C0004594</v>
      </c>
      <c r="S156" s="14" t="str">
        <f t="shared" si="123"/>
        <v>9505.8800</v>
      </c>
      <c r="T156" s="10">
        <v>21706</v>
      </c>
      <c r="U156" s="10">
        <v>1300</v>
      </c>
      <c r="V156" s="10" t="str">
        <f t="shared" si="117"/>
        <v>Direct transport costs</v>
      </c>
      <c r="W156" s="10" t="str">
        <f t="shared" si="113"/>
        <v>Transport Related Expenditure</v>
      </c>
      <c r="X156" s="10" t="str">
        <f>VLOOKUP(U156,'[1]Account code lookup'!A:B,2,0)</f>
        <v>Vehicle Repair &amp; Maintenance</v>
      </c>
      <c r="Z156" s="10" t="str">
        <f t="shared" si="109"/>
        <v>Environmental Services</v>
      </c>
      <c r="AA156" s="10" t="str">
        <f t="shared" si="110"/>
        <v>Operations and Delivery</v>
      </c>
      <c r="AB156" s="10" t="str">
        <f t="shared" si="111"/>
        <v>5oad</v>
      </c>
      <c r="AD156" s="10" t="str">
        <f t="shared" si="112"/>
        <v>oad02</v>
      </c>
      <c r="AE156" s="10" t="str">
        <f t="shared" si="118"/>
        <v>Finance &amp; Procurement / Head of Finance &amp; Procurement</v>
      </c>
      <c r="AG156" s="10" t="str">
        <f t="shared" si="119"/>
        <v>21706/1300</v>
      </c>
      <c r="AI156" s="10" t="str">
        <f t="shared" si="114"/>
        <v>13trans</v>
      </c>
      <c r="AJ156" s="15" t="str">
        <f t="shared" si="120"/>
        <v>Annual order for 2016-2017</v>
      </c>
      <c r="AK156" s="10" t="str">
        <f t="shared" si="108"/>
        <v>Revenue</v>
      </c>
      <c r="AL156" s="10" t="str">
        <f>""</f>
        <v/>
      </c>
      <c r="AM156" s="10" t="str">
        <f>""</f>
        <v/>
      </c>
      <c r="AN156" s="10" t="str">
        <f>""</f>
        <v/>
      </c>
      <c r="AO156" s="10" t="str">
        <f>""</f>
        <v/>
      </c>
    </row>
    <row r="157" spans="1:41" s="10" customFormat="1" ht="409.6">
      <c r="A157" s="9"/>
      <c r="B157" s="9"/>
      <c r="C157" s="9"/>
      <c r="D157" s="10" t="str">
        <f>"29570"</f>
        <v>29570</v>
      </c>
      <c r="E157" s="11" t="str">
        <f>""</f>
        <v/>
      </c>
      <c r="F157" s="11" t="str">
        <f t="shared" si="100"/>
        <v>372418</v>
      </c>
      <c r="G157" s="11" t="str">
        <f t="shared" si="101"/>
        <v>2017toJAN</v>
      </c>
      <c r="H157" s="11" t="str">
        <f t="shared" si="102"/>
        <v>CRSP06B</v>
      </c>
      <c r="I157" s="11" t="str">
        <f t="shared" si="103"/>
        <v>34</v>
      </c>
      <c r="J157" s="11" t="str">
        <f t="shared" si="104"/>
        <v>Creditor</v>
      </c>
      <c r="K157" s="11" t="str">
        <f t="shared" si="115"/>
        <v>CS001107</v>
      </c>
      <c r="L157" s="10" t="str">
        <f t="shared" si="116"/>
        <v>Dennis Eagle</v>
      </c>
      <c r="M157" s="12" t="str">
        <f t="shared" si="121"/>
        <v>27/01/2017 00:00:00</v>
      </c>
      <c r="N157" s="12">
        <v>42762</v>
      </c>
      <c r="O157" s="10" t="str">
        <f>"C008184"</f>
        <v>C008184</v>
      </c>
      <c r="P157" s="13">
        <v>111.15</v>
      </c>
      <c r="Q157" s="11" t="str">
        <f>"111.1500"</f>
        <v>111.1500</v>
      </c>
      <c r="R157" s="10" t="str">
        <f t="shared" si="122"/>
        <v>C0004594</v>
      </c>
      <c r="S157" s="14" t="str">
        <f t="shared" si="123"/>
        <v>9505.8800</v>
      </c>
      <c r="T157" s="10">
        <v>21706</v>
      </c>
      <c r="U157" s="10">
        <v>1300</v>
      </c>
      <c r="V157" s="10" t="str">
        <f t="shared" si="117"/>
        <v>Direct transport costs</v>
      </c>
      <c r="W157" s="10" t="str">
        <f t="shared" si="113"/>
        <v>Transport Related Expenditure</v>
      </c>
      <c r="X157" s="10" t="str">
        <f>VLOOKUP(U157,'[1]Account code lookup'!A:B,2,0)</f>
        <v>Vehicle Repair &amp; Maintenance</v>
      </c>
      <c r="Z157" s="10" t="str">
        <f t="shared" si="109"/>
        <v>Environmental Services</v>
      </c>
      <c r="AA157" s="10" t="str">
        <f t="shared" si="110"/>
        <v>Operations and Delivery</v>
      </c>
      <c r="AB157" s="10" t="str">
        <f t="shared" si="111"/>
        <v>5oad</v>
      </c>
      <c r="AD157" s="10" t="str">
        <f t="shared" si="112"/>
        <v>oad02</v>
      </c>
      <c r="AE157" s="10" t="str">
        <f t="shared" si="118"/>
        <v>Finance &amp; Procurement / Head of Finance &amp; Procurement</v>
      </c>
      <c r="AG157" s="10" t="str">
        <f t="shared" si="119"/>
        <v>21706/1300</v>
      </c>
      <c r="AI157" s="10" t="str">
        <f t="shared" si="114"/>
        <v>13trans</v>
      </c>
      <c r="AJ157" s="15" t="str">
        <f t="shared" si="120"/>
        <v>Annual order for 2016-2017</v>
      </c>
      <c r="AK157" s="10" t="str">
        <f t="shared" si="108"/>
        <v>Revenue</v>
      </c>
      <c r="AL157" s="10" t="str">
        <f>""</f>
        <v/>
      </c>
      <c r="AM157" s="10" t="str">
        <f>""</f>
        <v/>
      </c>
      <c r="AN157" s="10" t="str">
        <f>""</f>
        <v/>
      </c>
      <c r="AO157" s="10" t="str">
        <f>""</f>
        <v/>
      </c>
    </row>
    <row r="158" spans="1:41" s="10" customFormat="1" ht="409.6">
      <c r="A158" s="9"/>
      <c r="B158" s="9"/>
      <c r="C158" s="9"/>
      <c r="D158" s="10" t="str">
        <f>"29881"</f>
        <v>29881</v>
      </c>
      <c r="E158" s="11" t="str">
        <f>""</f>
        <v/>
      </c>
      <c r="F158" s="11" t="str">
        <f t="shared" si="100"/>
        <v>372418</v>
      </c>
      <c r="G158" s="11" t="str">
        <f t="shared" si="101"/>
        <v>2017toJAN</v>
      </c>
      <c r="H158" s="11" t="str">
        <f t="shared" si="102"/>
        <v>CRSP06B</v>
      </c>
      <c r="I158" s="11" t="str">
        <f t="shared" si="103"/>
        <v>34</v>
      </c>
      <c r="J158" s="11" t="str">
        <f t="shared" si="104"/>
        <v>Creditor</v>
      </c>
      <c r="K158" s="11" t="str">
        <f t="shared" si="115"/>
        <v>CS001107</v>
      </c>
      <c r="L158" s="10" t="str">
        <f t="shared" si="116"/>
        <v>Dennis Eagle</v>
      </c>
      <c r="M158" s="12" t="str">
        <f t="shared" si="121"/>
        <v>27/01/2017 00:00:00</v>
      </c>
      <c r="N158" s="12">
        <v>42762</v>
      </c>
      <c r="O158" s="10" t="str">
        <f>"C008185"</f>
        <v>C008185</v>
      </c>
      <c r="P158" s="13">
        <v>370.51</v>
      </c>
      <c r="Q158" s="11" t="str">
        <f>"370.5100"</f>
        <v>370.5100</v>
      </c>
      <c r="R158" s="10" t="str">
        <f t="shared" si="122"/>
        <v>C0004594</v>
      </c>
      <c r="S158" s="14" t="str">
        <f t="shared" si="123"/>
        <v>9505.8800</v>
      </c>
      <c r="T158" s="10">
        <v>21706</v>
      </c>
      <c r="U158" s="10">
        <v>1300</v>
      </c>
      <c r="V158" s="10" t="str">
        <f t="shared" si="117"/>
        <v>Direct transport costs</v>
      </c>
      <c r="W158" s="10" t="str">
        <f t="shared" si="113"/>
        <v>Transport Related Expenditure</v>
      </c>
      <c r="X158" s="10" t="str">
        <f>VLOOKUP(U158,'[1]Account code lookup'!A:B,2,0)</f>
        <v>Vehicle Repair &amp; Maintenance</v>
      </c>
      <c r="Z158" s="10" t="str">
        <f t="shared" si="109"/>
        <v>Environmental Services</v>
      </c>
      <c r="AA158" s="10" t="str">
        <f t="shared" si="110"/>
        <v>Operations and Delivery</v>
      </c>
      <c r="AB158" s="10" t="str">
        <f t="shared" si="111"/>
        <v>5oad</v>
      </c>
      <c r="AD158" s="10" t="str">
        <f t="shared" si="112"/>
        <v>oad02</v>
      </c>
      <c r="AE158" s="10" t="str">
        <f t="shared" si="118"/>
        <v>Finance &amp; Procurement / Head of Finance &amp; Procurement</v>
      </c>
      <c r="AG158" s="10" t="str">
        <f t="shared" si="119"/>
        <v>21706/1300</v>
      </c>
      <c r="AI158" s="10" t="str">
        <f t="shared" si="114"/>
        <v>13trans</v>
      </c>
      <c r="AJ158" s="15" t="str">
        <f t="shared" si="120"/>
        <v>Annual order for 2016-2017</v>
      </c>
      <c r="AK158" s="10" t="str">
        <f t="shared" si="108"/>
        <v>Revenue</v>
      </c>
      <c r="AL158" s="10" t="str">
        <f>""</f>
        <v/>
      </c>
      <c r="AM158" s="10" t="str">
        <f>""</f>
        <v/>
      </c>
      <c r="AN158" s="10" t="str">
        <f>""</f>
        <v/>
      </c>
      <c r="AO158" s="10" t="str">
        <f>""</f>
        <v/>
      </c>
    </row>
    <row r="159" spans="1:41" s="10" customFormat="1" ht="409.6">
      <c r="A159" s="9"/>
      <c r="B159" s="9"/>
      <c r="C159" s="9"/>
      <c r="D159" s="10" t="str">
        <f>"29882"</f>
        <v>29882</v>
      </c>
      <c r="E159" s="11" t="str">
        <f>""</f>
        <v/>
      </c>
      <c r="F159" s="11" t="str">
        <f t="shared" si="100"/>
        <v>372418</v>
      </c>
      <c r="G159" s="11" t="str">
        <f t="shared" si="101"/>
        <v>2017toJAN</v>
      </c>
      <c r="H159" s="11" t="str">
        <f t="shared" si="102"/>
        <v>CRSP06B</v>
      </c>
      <c r="I159" s="11" t="str">
        <f t="shared" si="103"/>
        <v>34</v>
      </c>
      <c r="J159" s="11" t="str">
        <f t="shared" si="104"/>
        <v>Creditor</v>
      </c>
      <c r="K159" s="11" t="str">
        <f>"CS002440"</f>
        <v>CS002440</v>
      </c>
      <c r="L159" s="10" t="str">
        <f>"Diales"</f>
        <v>Diales</v>
      </c>
      <c r="M159" s="12" t="str">
        <f>"16/01/2017 00:00:00"</f>
        <v>16/01/2017 00:00:00</v>
      </c>
      <c r="N159" s="12">
        <v>42751</v>
      </c>
      <c r="O159" s="10" t="str">
        <f>"C007910"</f>
        <v>C007910</v>
      </c>
      <c r="P159" s="13">
        <v>1405</v>
      </c>
      <c r="Q159" s="11" t="str">
        <f>"1405.0000"</f>
        <v>1405.0000</v>
      </c>
      <c r="R159" s="10" t="str">
        <f>"C0004454"</f>
        <v>C0004454</v>
      </c>
      <c r="S159" s="14" t="str">
        <f>"8908.8000"</f>
        <v>8908.8000</v>
      </c>
      <c r="T159" s="10">
        <v>40081</v>
      </c>
      <c r="U159" s="10">
        <v>4100</v>
      </c>
      <c r="V159" s="10" t="str">
        <f>"Capital Works"</f>
        <v>Capital Works</v>
      </c>
      <c r="W159" s="10" t="str">
        <f>"Capital Works"</f>
        <v>Capital Works</v>
      </c>
      <c r="X159" s="10" t="str">
        <f>VLOOKUP(U159,'[1]Account code lookup'!A:B,2,0)</f>
        <v>Contractors Capital Payments</v>
      </c>
      <c r="Z159" s="10" t="str">
        <f>"Capital Regen and Housing"</f>
        <v>Capital Regen and Housing</v>
      </c>
      <c r="AA159" s="10" t="str">
        <f>"Commercial Development Capital"</f>
        <v>Commercial Development Capital</v>
      </c>
      <c r="AB159" s="10" t="str">
        <f>"c2cdb"</f>
        <v>c2cdb</v>
      </c>
      <c r="AD159" s="10" t="str">
        <f>"ccdb02"</f>
        <v>ccdb02</v>
      </c>
      <c r="AE159" s="10" t="str">
        <f>"Finance &amp; Procurement / Finance"</f>
        <v>Finance &amp; Procurement / Finance</v>
      </c>
      <c r="AG159" s="10" t="str">
        <f>"40081/4100"</f>
        <v>40081/4100</v>
      </c>
      <c r="AI159" s="10" t="str">
        <f>"41cwrk"</f>
        <v>41cwrk</v>
      </c>
      <c r="AJ159" s="15" t="str">
        <f>"8856 - PIONEER SQU BICESTER_x000D_
_x000D_
Dec 2016_x000D_
_x000D_
ref 8856/SMD/645_x000D_
Inv No 26438_x000D_
_x000D_
Survey Report"</f>
        <v>8856 - PIONEER SQU BICESTER_x000D_
_x000D_
Dec 2016_x000D_
_x000D_
ref 8856/SMD/645_x000D_
Inv No 26438_x000D_
_x000D_
Survey Report</v>
      </c>
      <c r="AK159" s="10" t="str">
        <f>"Capital"</f>
        <v>Capital</v>
      </c>
      <c r="AL159" s="10" t="str">
        <f>""</f>
        <v/>
      </c>
      <c r="AM159" s="10" t="str">
        <f>""</f>
        <v/>
      </c>
      <c r="AN159" s="10" t="str">
        <f>""</f>
        <v/>
      </c>
      <c r="AO159" s="10" t="str">
        <f>""</f>
        <v/>
      </c>
    </row>
    <row r="160" spans="1:41" s="10" customFormat="1" ht="409.6">
      <c r="A160" s="9"/>
      <c r="B160" s="9"/>
      <c r="C160" s="9"/>
      <c r="D160" s="10" t="str">
        <f>"29883"</f>
        <v>29883</v>
      </c>
      <c r="E160" s="11" t="str">
        <f>""</f>
        <v/>
      </c>
      <c r="F160" s="11" t="str">
        <f t="shared" si="100"/>
        <v>372418</v>
      </c>
      <c r="G160" s="11" t="str">
        <f t="shared" si="101"/>
        <v>2017toJAN</v>
      </c>
      <c r="H160" s="11" t="str">
        <f t="shared" si="102"/>
        <v>CRSP06B</v>
      </c>
      <c r="I160" s="11" t="str">
        <f t="shared" si="103"/>
        <v>34</v>
      </c>
      <c r="J160" s="11" t="str">
        <f t="shared" si="104"/>
        <v>Creditor</v>
      </c>
      <c r="K160" s="11" t="str">
        <f>"CS002440"</f>
        <v>CS002440</v>
      </c>
      <c r="L160" s="10" t="str">
        <f>"Diales"</f>
        <v>Diales</v>
      </c>
      <c r="M160" s="12" t="str">
        <f>"16/01/2017 00:00:00"</f>
        <v>16/01/2017 00:00:00</v>
      </c>
      <c r="N160" s="12">
        <v>42751</v>
      </c>
      <c r="O160" s="10" t="str">
        <f>"C007909"</f>
        <v>C007909</v>
      </c>
      <c r="P160" s="13">
        <v>6019</v>
      </c>
      <c r="Q160" s="11" t="str">
        <f>"6019.0000"</f>
        <v>6019.0000</v>
      </c>
      <c r="R160" s="10" t="str">
        <f>"C0004454"</f>
        <v>C0004454</v>
      </c>
      <c r="S160" s="14" t="str">
        <f>"8908.8000"</f>
        <v>8908.8000</v>
      </c>
      <c r="T160" s="10">
        <v>40081</v>
      </c>
      <c r="U160" s="10">
        <v>4100</v>
      </c>
      <c r="V160" s="10" t="str">
        <f>"Capital Works"</f>
        <v>Capital Works</v>
      </c>
      <c r="W160" s="10" t="str">
        <f>"Capital Works"</f>
        <v>Capital Works</v>
      </c>
      <c r="X160" s="10" t="str">
        <f>VLOOKUP(U160,'[1]Account code lookup'!A:B,2,0)</f>
        <v>Contractors Capital Payments</v>
      </c>
      <c r="Z160" s="10" t="str">
        <f>"Capital Regen and Housing"</f>
        <v>Capital Regen and Housing</v>
      </c>
      <c r="AA160" s="10" t="str">
        <f>"Commercial Development Capital"</f>
        <v>Commercial Development Capital</v>
      </c>
      <c r="AB160" s="10" t="str">
        <f>"c2cdb"</f>
        <v>c2cdb</v>
      </c>
      <c r="AD160" s="10" t="str">
        <f>"ccdb02"</f>
        <v>ccdb02</v>
      </c>
      <c r="AE160" s="10" t="str">
        <f>"Finance &amp; Procurement / Finance"</f>
        <v>Finance &amp; Procurement / Finance</v>
      </c>
      <c r="AG160" s="10" t="str">
        <f>"40081/4100"</f>
        <v>40081/4100</v>
      </c>
      <c r="AI160" s="10" t="str">
        <f>"41cwrk"</f>
        <v>41cwrk</v>
      </c>
      <c r="AJ160" s="15" t="str">
        <f>"8856 PIONEER SQ BICESTER_x000D_
_x000D_
Inv no 26283_x000D_
_x000D_
Ref 8856/SMD/645_x000D_
_x000D_
Nov 2016_x000D_
_x000D_
Surveys report"</f>
        <v>8856 PIONEER SQ BICESTER_x000D_
_x000D_
Inv no 26283_x000D_
_x000D_
Ref 8856/SMD/645_x000D_
_x000D_
Nov 2016_x000D_
_x000D_
Surveys report</v>
      </c>
      <c r="AK160" s="10" t="str">
        <f>"Capital"</f>
        <v>Capital</v>
      </c>
      <c r="AL160" s="10" t="str">
        <f>""</f>
        <v/>
      </c>
      <c r="AM160" s="10" t="str">
        <f>""</f>
        <v/>
      </c>
      <c r="AN160" s="10" t="str">
        <f>""</f>
        <v/>
      </c>
      <c r="AO160" s="10" t="str">
        <f>""</f>
        <v/>
      </c>
    </row>
    <row r="161" spans="1:41" s="10" customFormat="1" ht="409.6">
      <c r="A161" s="9"/>
      <c r="B161" s="9"/>
      <c r="C161" s="9"/>
      <c r="D161" s="10" t="str">
        <f>"30284"</f>
        <v>30284</v>
      </c>
      <c r="E161" s="11" t="str">
        <f>""</f>
        <v/>
      </c>
      <c r="F161" s="11" t="str">
        <f t="shared" si="100"/>
        <v>372418</v>
      </c>
      <c r="G161" s="11" t="str">
        <f t="shared" si="101"/>
        <v>2017toJAN</v>
      </c>
      <c r="H161" s="11" t="str">
        <f t="shared" si="102"/>
        <v>CRSP06B</v>
      </c>
      <c r="I161" s="11" t="str">
        <f t="shared" si="103"/>
        <v>34</v>
      </c>
      <c r="J161" s="11" t="str">
        <f t="shared" si="104"/>
        <v>Creditor</v>
      </c>
      <c r="K161" s="11" t="str">
        <f>"CS000407"</f>
        <v>CS000407</v>
      </c>
      <c r="L161" s="10" t="str">
        <f>"DPDS Consulting Ltd"</f>
        <v>DPDS Consulting Ltd</v>
      </c>
      <c r="M161" s="12" t="str">
        <f>"06/01/2017 00:00:00"</f>
        <v>06/01/2017 00:00:00</v>
      </c>
      <c r="N161" s="12">
        <v>42741</v>
      </c>
      <c r="O161" s="10" t="str">
        <f>"C007406"</f>
        <v>C007406</v>
      </c>
      <c r="P161" s="13">
        <v>2990</v>
      </c>
      <c r="Q161" s="11" t="str">
        <f>"2990.0000"</f>
        <v>2990.0000</v>
      </c>
      <c r="R161" s="10" t="str">
        <f>"C0004289"</f>
        <v>C0004289</v>
      </c>
      <c r="S161" s="14" t="str">
        <f>"3588.0000"</f>
        <v>3588.0000</v>
      </c>
      <c r="T161" s="10">
        <v>29110</v>
      </c>
      <c r="U161" s="10">
        <v>1767</v>
      </c>
      <c r="V161" s="10" t="str">
        <f>"Professional Fees"</f>
        <v>Professional Fees</v>
      </c>
      <c r="W161" s="10" t="str">
        <f>"Third Party Payments"</f>
        <v>Third Party Payments</v>
      </c>
      <c r="X161" s="10" t="str">
        <f>VLOOKUP(U161,'[1]Account code lookup'!A:B,2,0)</f>
        <v>Professional Fees</v>
      </c>
      <c r="Z161" s="10" t="str">
        <f>"Development Management"</f>
        <v>Development Management</v>
      </c>
      <c r="AA161" s="10" t="str">
        <f>"Strategy and Commissioning"</f>
        <v>Strategy and Commissioning</v>
      </c>
      <c r="AB161" s="10" t="str">
        <f>"4sac"</f>
        <v>4sac</v>
      </c>
      <c r="AD161" s="10" t="str">
        <f>"sac02"</f>
        <v>sac02</v>
      </c>
      <c r="AE161" s="10" t="str">
        <f>"Development Management / Building Control"</f>
        <v>Development Management / Building Control</v>
      </c>
      <c r="AG161" s="10" t="str">
        <f>"29110/1767"</f>
        <v>29110/1767</v>
      </c>
      <c r="AI161" s="10" t="str">
        <f>"17tpp"</f>
        <v>17tpp</v>
      </c>
      <c r="AJ161" s="15" t="str">
        <f>""</f>
        <v/>
      </c>
      <c r="AK161" s="10" t="str">
        <f>"Revenue"</f>
        <v>Revenue</v>
      </c>
      <c r="AL161" s="10" t="str">
        <f>""</f>
        <v/>
      </c>
      <c r="AM161" s="10" t="str">
        <f>""</f>
        <v/>
      </c>
      <c r="AN161" s="10" t="str">
        <f>""</f>
        <v/>
      </c>
      <c r="AO161" s="10" t="str">
        <f>""</f>
        <v/>
      </c>
    </row>
    <row r="162" spans="1:41" s="10" customFormat="1" ht="409.6">
      <c r="A162" s="9"/>
      <c r="B162" s="9"/>
      <c r="C162" s="9"/>
      <c r="D162" s="10" t="str">
        <f>"30467"</f>
        <v>30467</v>
      </c>
      <c r="E162" s="11" t="str">
        <f>""</f>
        <v/>
      </c>
      <c r="F162" s="11" t="str">
        <f t="shared" si="100"/>
        <v>372418</v>
      </c>
      <c r="G162" s="11" t="str">
        <f t="shared" si="101"/>
        <v>2017toJAN</v>
      </c>
      <c r="H162" s="11" t="str">
        <f t="shared" si="102"/>
        <v>CRSP06B</v>
      </c>
      <c r="I162" s="11" t="str">
        <f t="shared" si="103"/>
        <v>34</v>
      </c>
      <c r="J162" s="11" t="str">
        <f t="shared" si="104"/>
        <v>Creditor</v>
      </c>
      <c r="K162" s="11" t="str">
        <f>"CS003098"</f>
        <v>CS003098</v>
      </c>
      <c r="L162" s="10" t="str">
        <f>"Durrow"</f>
        <v>Durrow</v>
      </c>
      <c r="M162" s="12" t="str">
        <f>"25/01/2017 00:00:00"</f>
        <v>25/01/2017 00:00:00</v>
      </c>
      <c r="N162" s="12">
        <v>42760</v>
      </c>
      <c r="O162" s="10" t="str">
        <f>"C008062"</f>
        <v>C008062</v>
      </c>
      <c r="P162" s="13">
        <v>11000</v>
      </c>
      <c r="Q162" s="11" t="str">
        <f>"11000.0000"</f>
        <v>11000.0000</v>
      </c>
      <c r="R162" s="10" t="str">
        <f>"C0004575"</f>
        <v>C0004575</v>
      </c>
      <c r="S162" s="14" t="str">
        <f>"13835.0400"</f>
        <v>13835.0400</v>
      </c>
      <c r="T162" s="10">
        <v>21759</v>
      </c>
      <c r="U162" s="10">
        <v>1765</v>
      </c>
      <c r="V162" s="10" t="str">
        <f>"Professional Fees"</f>
        <v>Professional Fees</v>
      </c>
      <c r="W162" s="10" t="str">
        <f>"Third Party Payments"</f>
        <v>Third Party Payments</v>
      </c>
      <c r="X162" s="10" t="str">
        <f>VLOOKUP(U162,'[1]Account code lookup'!A:B,2,0)</f>
        <v>Consultants Fees</v>
      </c>
      <c r="Z162" s="10" t="str">
        <f>"Dir of Operations and Delivery"</f>
        <v>Dir of Operations and Delivery</v>
      </c>
      <c r="AA162" s="10" t="str">
        <f>"Operations and Delivery"</f>
        <v>Operations and Delivery</v>
      </c>
      <c r="AB162" s="10" t="str">
        <f>"5oad"</f>
        <v>5oad</v>
      </c>
      <c r="AD162" s="10" t="str">
        <f>"oad03"</f>
        <v>oad03</v>
      </c>
      <c r="AE162" s="10" t="str">
        <f>"Finance &amp; Procurement / Head of Finance &amp; Procurement"</f>
        <v>Finance &amp; Procurement / Head of Finance &amp; Procurement</v>
      </c>
      <c r="AG162" s="10" t="str">
        <f>"21759/1765"</f>
        <v>21759/1765</v>
      </c>
      <c r="AI162" s="10" t="str">
        <f>"17tpp"</f>
        <v>17tpp</v>
      </c>
      <c r="AJ162" s="15" t="str">
        <f>"Consultancy services in relation to the Horton Hospital._x000D_
Invoice No. 843.  18.12.2016"</f>
        <v>Consultancy services in relation to the Horton Hospital._x000D_
Invoice No. 843.  18.12.2016</v>
      </c>
      <c r="AK162" s="10" t="str">
        <f>"Revenue"</f>
        <v>Revenue</v>
      </c>
      <c r="AL162" s="10" t="str">
        <f>""</f>
        <v/>
      </c>
      <c r="AM162" s="10" t="str">
        <f>""</f>
        <v/>
      </c>
      <c r="AN162" s="10" t="str">
        <f>""</f>
        <v/>
      </c>
      <c r="AO162" s="10" t="str">
        <f>""</f>
        <v/>
      </c>
    </row>
    <row r="163" spans="1:41" s="10" customFormat="1" ht="409.6">
      <c r="A163" s="9"/>
      <c r="B163" s="9"/>
      <c r="C163" s="9"/>
      <c r="D163" s="10" t="str">
        <f>"30529"</f>
        <v>30529</v>
      </c>
      <c r="E163" s="11" t="str">
        <f>""</f>
        <v/>
      </c>
      <c r="F163" s="11" t="str">
        <f t="shared" si="100"/>
        <v>372418</v>
      </c>
      <c r="G163" s="11" t="str">
        <f t="shared" si="101"/>
        <v>2017toJAN</v>
      </c>
      <c r="H163" s="11" t="str">
        <f t="shared" si="102"/>
        <v>CRSP06B</v>
      </c>
      <c r="I163" s="11" t="str">
        <f t="shared" si="103"/>
        <v>34</v>
      </c>
      <c r="J163" s="11" t="str">
        <f t="shared" si="104"/>
        <v>Creditor</v>
      </c>
      <c r="K163" s="11" t="str">
        <f>"CS003098"</f>
        <v>CS003098</v>
      </c>
      <c r="L163" s="10" t="str">
        <f>"Durrow"</f>
        <v>Durrow</v>
      </c>
      <c r="M163" s="12" t="str">
        <f>"25/01/2017 00:00:00"</f>
        <v>25/01/2017 00:00:00</v>
      </c>
      <c r="N163" s="12">
        <v>42760</v>
      </c>
      <c r="O163" s="10" t="str">
        <f>"C008062"</f>
        <v>C008062</v>
      </c>
      <c r="P163" s="13">
        <v>0.56000000000000005</v>
      </c>
      <c r="Q163" s="11" t="str">
        <f>"0.5600"</f>
        <v>0.5600</v>
      </c>
      <c r="R163" s="10" t="str">
        <f>"C0004575"</f>
        <v>C0004575</v>
      </c>
      <c r="S163" s="14" t="str">
        <f>"13835.0400"</f>
        <v>13835.0400</v>
      </c>
      <c r="T163" s="10">
        <v>21759</v>
      </c>
      <c r="U163" s="10">
        <v>1765</v>
      </c>
      <c r="V163" s="10" t="str">
        <f>"Professional Fees"</f>
        <v>Professional Fees</v>
      </c>
      <c r="W163" s="10" t="str">
        <f>"Third Party Payments"</f>
        <v>Third Party Payments</v>
      </c>
      <c r="X163" s="10" t="str">
        <f>VLOOKUP(U163,'[1]Account code lookup'!A:B,2,0)</f>
        <v>Consultants Fees</v>
      </c>
      <c r="Z163" s="10" t="str">
        <f>"Dir of Operations and Delivery"</f>
        <v>Dir of Operations and Delivery</v>
      </c>
      <c r="AA163" s="10" t="str">
        <f>"Operations and Delivery"</f>
        <v>Operations and Delivery</v>
      </c>
      <c r="AB163" s="10" t="str">
        <f>"5oad"</f>
        <v>5oad</v>
      </c>
      <c r="AD163" s="10" t="str">
        <f>"oad03"</f>
        <v>oad03</v>
      </c>
      <c r="AE163" s="10" t="str">
        <f>"Finance &amp; Procurement / Head of Finance &amp; Procurement"</f>
        <v>Finance &amp; Procurement / Head of Finance &amp; Procurement</v>
      </c>
      <c r="AG163" s="10" t="str">
        <f>"21759/1765"</f>
        <v>21759/1765</v>
      </c>
      <c r="AI163" s="10" t="str">
        <f>"17tpp"</f>
        <v>17tpp</v>
      </c>
      <c r="AJ163" s="15" t="str">
        <f>"Consultancy Services re Horton Hospital - expenses _x000D_
Invoice No. 843_x000D_
945 miles @.56p"</f>
        <v>Consultancy Services re Horton Hospital - expenses _x000D_
Invoice No. 843_x000D_
945 miles @.56p</v>
      </c>
      <c r="AK163" s="10" t="str">
        <f>"Revenue"</f>
        <v>Revenue</v>
      </c>
      <c r="AL163" s="10" t="str">
        <f>""</f>
        <v/>
      </c>
      <c r="AM163" s="10" t="str">
        <f>""</f>
        <v/>
      </c>
      <c r="AN163" s="10" t="str">
        <f>""</f>
        <v/>
      </c>
      <c r="AO163" s="10" t="str">
        <f>""</f>
        <v/>
      </c>
    </row>
    <row r="164" spans="1:41" s="10" customFormat="1" ht="409.6">
      <c r="A164" s="9"/>
      <c r="B164" s="9"/>
      <c r="C164" s="9"/>
      <c r="D164" s="10" t="str">
        <f>"30646"</f>
        <v>30646</v>
      </c>
      <c r="E164" s="11" t="str">
        <f>""</f>
        <v/>
      </c>
      <c r="F164" s="11" t="str">
        <f t="shared" si="100"/>
        <v>372418</v>
      </c>
      <c r="G164" s="11" t="str">
        <f t="shared" si="101"/>
        <v>2017toJAN</v>
      </c>
      <c r="H164" s="11" t="str">
        <f t="shared" si="102"/>
        <v>CRSP06B</v>
      </c>
      <c r="I164" s="11" t="str">
        <f t="shared" si="103"/>
        <v>34</v>
      </c>
      <c r="J164" s="11" t="str">
        <f t="shared" si="104"/>
        <v>Creditor</v>
      </c>
      <c r="K164" s="11" t="str">
        <f>"CS003098"</f>
        <v>CS003098</v>
      </c>
      <c r="L164" s="10" t="str">
        <f>"Durrow"</f>
        <v>Durrow</v>
      </c>
      <c r="M164" s="12" t="str">
        <f>"25/01/2017 00:00:00"</f>
        <v>25/01/2017 00:00:00</v>
      </c>
      <c r="N164" s="12">
        <v>42760</v>
      </c>
      <c r="O164" s="10" t="str">
        <f>"C008062"</f>
        <v>C008062</v>
      </c>
      <c r="P164" s="13">
        <v>528.64</v>
      </c>
      <c r="Q164" s="11" t="str">
        <f>"528.6400"</f>
        <v>528.6400</v>
      </c>
      <c r="R164" s="10" t="str">
        <f>"C0004575"</f>
        <v>C0004575</v>
      </c>
      <c r="S164" s="14" t="str">
        <f>"13835.0400"</f>
        <v>13835.0400</v>
      </c>
      <c r="T164" s="10">
        <v>21759</v>
      </c>
      <c r="U164" s="10">
        <v>1765</v>
      </c>
      <c r="V164" s="10" t="str">
        <f>"Professional Fees"</f>
        <v>Professional Fees</v>
      </c>
      <c r="W164" s="10" t="str">
        <f>"Third Party Payments"</f>
        <v>Third Party Payments</v>
      </c>
      <c r="X164" s="10" t="str">
        <f>VLOOKUP(U164,'[1]Account code lookup'!A:B,2,0)</f>
        <v>Consultants Fees</v>
      </c>
      <c r="Z164" s="10" t="str">
        <f>"Dir of Operations and Delivery"</f>
        <v>Dir of Operations and Delivery</v>
      </c>
      <c r="AA164" s="10" t="str">
        <f>"Operations and Delivery"</f>
        <v>Operations and Delivery</v>
      </c>
      <c r="AB164" s="10" t="str">
        <f>"5oad"</f>
        <v>5oad</v>
      </c>
      <c r="AD164" s="10" t="str">
        <f>"oad03"</f>
        <v>oad03</v>
      </c>
      <c r="AE164" s="10" t="str">
        <f>"Finance &amp; Procurement / Head of Finance &amp; Procurement"</f>
        <v>Finance &amp; Procurement / Head of Finance &amp; Procurement</v>
      </c>
      <c r="AG164" s="10" t="str">
        <f>"21759/1765"</f>
        <v>21759/1765</v>
      </c>
      <c r="AI164" s="10" t="str">
        <f>"17tpp"</f>
        <v>17tpp</v>
      </c>
      <c r="AJ164" s="15" t="str">
        <f>"Consultancy Services re Horton Hospital - expenses _x000D_
Invoice No. 843_x000D_
945 miles @.56p"</f>
        <v>Consultancy Services re Horton Hospital - expenses _x000D_
Invoice No. 843_x000D_
945 miles @.56p</v>
      </c>
      <c r="AK164" s="10" t="str">
        <f>"Revenue"</f>
        <v>Revenue</v>
      </c>
      <c r="AL164" s="10" t="str">
        <f>""</f>
        <v/>
      </c>
      <c r="AM164" s="10" t="str">
        <f>""</f>
        <v/>
      </c>
      <c r="AN164" s="10" t="str">
        <f>""</f>
        <v/>
      </c>
      <c r="AO164" s="10" t="str">
        <f>""</f>
        <v/>
      </c>
    </row>
    <row r="165" spans="1:41" s="10" customFormat="1" ht="409.6">
      <c r="A165" s="9"/>
      <c r="B165" s="9"/>
      <c r="C165" s="9"/>
      <c r="D165" s="10" t="str">
        <f>"32137"</f>
        <v>32137</v>
      </c>
      <c r="E165" s="11" t="str">
        <f>""</f>
        <v/>
      </c>
      <c r="F165" s="11" t="str">
        <f t="shared" si="100"/>
        <v>372418</v>
      </c>
      <c r="G165" s="11" t="str">
        <f t="shared" si="101"/>
        <v>2017toJAN</v>
      </c>
      <c r="H165" s="11" t="str">
        <f t="shared" si="102"/>
        <v>CRSP06B</v>
      </c>
      <c r="I165" s="11" t="str">
        <f t="shared" si="103"/>
        <v>34</v>
      </c>
      <c r="J165" s="11" t="str">
        <f t="shared" si="104"/>
        <v>Creditor</v>
      </c>
      <c r="K165" s="11" t="str">
        <f>"CS003005"</f>
        <v>CS003005</v>
      </c>
      <c r="L165" s="10" t="str">
        <f>"Edgars Ltd"</f>
        <v>Edgars Ltd</v>
      </c>
      <c r="M165" s="12" t="str">
        <f>"10/01/2017 00:00:00"</f>
        <v>10/01/2017 00:00:00</v>
      </c>
      <c r="N165" s="12">
        <v>42745</v>
      </c>
      <c r="O165" s="10" t="str">
        <f>"C007528"</f>
        <v>C007528</v>
      </c>
      <c r="P165" s="13">
        <v>3600</v>
      </c>
      <c r="Q165" s="11" t="str">
        <f>"3600.0000"</f>
        <v>3600.0000</v>
      </c>
      <c r="R165" s="10" t="str">
        <f>"059230"</f>
        <v>059230</v>
      </c>
      <c r="S165" s="14" t="str">
        <f>"4320.0000"</f>
        <v>4320.0000</v>
      </c>
      <c r="T165" s="10">
        <v>29110</v>
      </c>
      <c r="U165" s="10">
        <v>1136</v>
      </c>
      <c r="V165" s="10" t="str">
        <f>"Direct employee exps and bens"</f>
        <v>Direct employee exps and bens</v>
      </c>
      <c r="W165" s="10" t="str">
        <f>"Employees"</f>
        <v>Employees</v>
      </c>
      <c r="X165" s="10" t="str">
        <f>VLOOKUP(U165,'[1]Account code lookup'!A:B,2,0)</f>
        <v>Agency Staff</v>
      </c>
      <c r="Z165" s="10" t="str">
        <f>"Development Management"</f>
        <v>Development Management</v>
      </c>
      <c r="AA165" s="10" t="str">
        <f>"Strategy and Commissioning"</f>
        <v>Strategy and Commissioning</v>
      </c>
      <c r="AB165" s="10" t="str">
        <f>"4sac"</f>
        <v>4sac</v>
      </c>
      <c r="AD165" s="10" t="str">
        <f>"sac02"</f>
        <v>sac02</v>
      </c>
      <c r="AE165" s="10" t="str">
        <f>"Development Management / Development Management"</f>
        <v>Development Management / Development Management</v>
      </c>
      <c r="AG165" s="10" t="str">
        <f>"29110/1136"</f>
        <v>29110/1136</v>
      </c>
      <c r="AI165" s="10" t="str">
        <f>"11emps"</f>
        <v>11emps</v>
      </c>
      <c r="AJ165" s="15" t="str">
        <f>""</f>
        <v/>
      </c>
      <c r="AK165" s="10" t="str">
        <f>"Revenue"</f>
        <v>Revenue</v>
      </c>
      <c r="AL165" s="10" t="str">
        <f>""</f>
        <v/>
      </c>
      <c r="AM165" s="10" t="str">
        <f>""</f>
        <v/>
      </c>
      <c r="AN165" s="10" t="str">
        <f>""</f>
        <v/>
      </c>
      <c r="AO165" s="10" t="str">
        <f>""</f>
        <v/>
      </c>
    </row>
    <row r="166" spans="1:41" s="10" customFormat="1" ht="409.6">
      <c r="A166" s="9"/>
      <c r="B166" s="9"/>
      <c r="C166" s="9"/>
      <c r="D166" s="10" t="str">
        <f>"32298"</f>
        <v>32298</v>
      </c>
      <c r="E166" s="11" t="str">
        <f>""</f>
        <v/>
      </c>
      <c r="F166" s="11" t="str">
        <f t="shared" si="100"/>
        <v>372418</v>
      </c>
      <c r="G166" s="11" t="str">
        <f t="shared" si="101"/>
        <v>2017toJAN</v>
      </c>
      <c r="H166" s="11" t="str">
        <f t="shared" si="102"/>
        <v>CRSP06B</v>
      </c>
      <c r="I166" s="11" t="str">
        <f t="shared" si="103"/>
        <v>34</v>
      </c>
      <c r="J166" s="11" t="str">
        <f t="shared" si="104"/>
        <v>Creditor</v>
      </c>
      <c r="K166" s="11" t="str">
        <f>"CS000355"</f>
        <v>CS000355</v>
      </c>
      <c r="L166" s="10" t="str">
        <f>"Environmental Dimensions Partnership"</f>
        <v>Environmental Dimensions Partnership</v>
      </c>
      <c r="M166" s="12" t="str">
        <f>"25/01/2017 00:00:00"</f>
        <v>25/01/2017 00:00:00</v>
      </c>
      <c r="N166" s="12">
        <v>42760</v>
      </c>
      <c r="O166" s="10" t="str">
        <f>"C008052"</f>
        <v>C008052</v>
      </c>
      <c r="P166" s="13">
        <v>1789.62</v>
      </c>
      <c r="Q166" s="11" t="str">
        <f>"1789.6200"</f>
        <v>1789.6200</v>
      </c>
      <c r="R166" s="10" t="str">
        <f>"C0004550"</f>
        <v>C0004550</v>
      </c>
      <c r="S166" s="14" t="str">
        <f>"2147.5400"</f>
        <v>2147.5400</v>
      </c>
      <c r="T166" s="10">
        <v>40103</v>
      </c>
      <c r="U166" s="10">
        <v>4100</v>
      </c>
      <c r="V166" s="10" t="str">
        <f>"Capital Works"</f>
        <v>Capital Works</v>
      </c>
      <c r="W166" s="10" t="str">
        <f>"Capital Works"</f>
        <v>Capital Works</v>
      </c>
      <c r="X166" s="10" t="str">
        <f>VLOOKUP(U166,'[1]Account code lookup'!A:B,2,0)</f>
        <v>Contractors Capital Payments</v>
      </c>
      <c r="Z166" s="10" t="str">
        <f>"Capital Regen and Housing"</f>
        <v>Capital Regen and Housing</v>
      </c>
      <c r="AA166" s="10" t="str">
        <f>"Commercial Development Capital"</f>
        <v>Commercial Development Capital</v>
      </c>
      <c r="AB166" s="10" t="str">
        <f>"c2cdb"</f>
        <v>c2cdb</v>
      </c>
      <c r="AD166" s="10" t="str">
        <f>"ccdb02"</f>
        <v>ccdb02</v>
      </c>
      <c r="AE166" s="10" t="str">
        <f>"Regeneration &amp; Housing / Delivery Team"</f>
        <v>Regeneration &amp; Housing / Delivery Team</v>
      </c>
      <c r="AG166" s="10" t="str">
        <f>"40103/4100"</f>
        <v>40103/4100</v>
      </c>
      <c r="AI166" s="10" t="str">
        <f>"41cwrk"</f>
        <v>41cwrk</v>
      </c>
      <c r="AJ166" s="15" t="str">
        <f>"Task	Basis of Quote	Fee	Notes_x000D_
Obtain/review/analyse costs for mitigation	Fixed	£500 (of which £250 left uncharged)	Already appointed under PO 430176_x000D_
Project appointment/set-up	Fixed	£500	Unchanged from fee quote dated 1st December 2014_x000D_
Manage excavatio"</f>
        <v>Task	Basis of Quote	Fee	Notes_x000D_
Obtain/review/analyse costs for mitigation	Fixed	£500 (of which £250 left uncharged)	Already appointed under PO 430176_x000D_
Project appointment/set-up	Fixed	£500	Unchanged from fee quote dated 1st December 2014_x000D_
Manage excavatio</v>
      </c>
      <c r="AK166" s="10" t="str">
        <f>"Capital"</f>
        <v>Capital</v>
      </c>
      <c r="AL166" s="10" t="str">
        <f>""</f>
        <v/>
      </c>
      <c r="AM166" s="10" t="str">
        <f>""</f>
        <v/>
      </c>
      <c r="AN166" s="10" t="str">
        <f>""</f>
        <v/>
      </c>
      <c r="AO166" s="10" t="str">
        <f>""</f>
        <v/>
      </c>
    </row>
    <row r="167" spans="1:41" s="10" customFormat="1" ht="409.6">
      <c r="A167" s="9"/>
      <c r="B167" s="9"/>
      <c r="C167" s="9"/>
      <c r="D167" s="10" t="str">
        <f>"32299"</f>
        <v>32299</v>
      </c>
      <c r="E167" s="11" t="str">
        <f>""</f>
        <v/>
      </c>
      <c r="F167" s="11" t="str">
        <f t="shared" si="100"/>
        <v>372418</v>
      </c>
      <c r="G167" s="11" t="str">
        <f t="shared" si="101"/>
        <v>2017toJAN</v>
      </c>
      <c r="H167" s="11" t="str">
        <f t="shared" si="102"/>
        <v>CRSP06B</v>
      </c>
      <c r="I167" s="11" t="str">
        <f t="shared" si="103"/>
        <v>34</v>
      </c>
      <c r="J167" s="11" t="str">
        <f t="shared" si="104"/>
        <v>Creditor</v>
      </c>
      <c r="K167" s="11" t="str">
        <f>"CS000372"</f>
        <v>CS000372</v>
      </c>
      <c r="L167" s="10" t="str">
        <f>"European Electronique"</f>
        <v>European Electronique</v>
      </c>
      <c r="M167" s="12" t="str">
        <f>"06/01/2017 00:00:00"</f>
        <v>06/01/2017 00:00:00</v>
      </c>
      <c r="N167" s="12">
        <v>42741</v>
      </c>
      <c r="O167" s="10" t="str">
        <f>"C007280"</f>
        <v>C007280</v>
      </c>
      <c r="P167" s="13">
        <v>682.5</v>
      </c>
      <c r="Q167" s="11" t="str">
        <f>"682.5000"</f>
        <v>682.5000</v>
      </c>
      <c r="R167" s="10" t="str">
        <f>"C0004288"</f>
        <v>C0004288</v>
      </c>
      <c r="S167" s="14" t="str">
        <f>"819.0000"</f>
        <v>819.0000</v>
      </c>
      <c r="T167" s="10">
        <v>21733</v>
      </c>
      <c r="U167" s="10">
        <v>1516</v>
      </c>
      <c r="V167" s="10" t="str">
        <f>"Communications and computing"</f>
        <v>Communications and computing</v>
      </c>
      <c r="W167" s="10" t="str">
        <f>"Supplies and Services"</f>
        <v>Supplies and Services</v>
      </c>
      <c r="X167" s="10" t="str">
        <f>VLOOKUP(U167,'[1]Account code lookup'!A:B,2,0)</f>
        <v>Computer Software, Licensing &amp; Maintenan</v>
      </c>
      <c r="Z167" s="10" t="str">
        <f>"Information Services"</f>
        <v>Information Services</v>
      </c>
      <c r="AA167" s="10" t="str">
        <f>"Commercial Development"</f>
        <v>Commercial Development</v>
      </c>
      <c r="AB167" s="10" t="str">
        <f>"2cdb"</f>
        <v>2cdb</v>
      </c>
      <c r="AD167" s="10" t="str">
        <f>"cdb04"</f>
        <v>cdb04</v>
      </c>
      <c r="AE167" s="10" t="str">
        <f>"ICT / Information Services"</f>
        <v>ICT / Information Services</v>
      </c>
      <c r="AG167" s="10" t="str">
        <f>"21733/1516"</f>
        <v>21733/1516</v>
      </c>
      <c r="AI167" s="10" t="str">
        <f>"14suse"</f>
        <v>14suse</v>
      </c>
      <c r="AJ167" s="15" t="str">
        <f>""</f>
        <v/>
      </c>
      <c r="AK167" s="10" t="str">
        <f t="shared" ref="AK167:AK172" si="124">"Revenue"</f>
        <v>Revenue</v>
      </c>
      <c r="AL167" s="10" t="str">
        <f>""</f>
        <v/>
      </c>
      <c r="AM167" s="10" t="str">
        <f>""</f>
        <v/>
      </c>
      <c r="AN167" s="10" t="str">
        <f>""</f>
        <v/>
      </c>
      <c r="AO167" s="10" t="str">
        <f>""</f>
        <v/>
      </c>
    </row>
    <row r="168" spans="1:41" s="10" customFormat="1" ht="409.6">
      <c r="A168" s="9"/>
      <c r="B168" s="9"/>
      <c r="C168" s="9"/>
      <c r="D168" s="10" t="str">
        <f>"32387"</f>
        <v>32387</v>
      </c>
      <c r="E168" s="11" t="str">
        <f>""</f>
        <v/>
      </c>
      <c r="F168" s="11" t="str">
        <f t="shared" si="100"/>
        <v>372418</v>
      </c>
      <c r="G168" s="11" t="str">
        <f t="shared" si="101"/>
        <v>2017toJAN</v>
      </c>
      <c r="H168" s="11" t="str">
        <f t="shared" si="102"/>
        <v>CRSP06B</v>
      </c>
      <c r="I168" s="11" t="str">
        <f t="shared" si="103"/>
        <v>34</v>
      </c>
      <c r="J168" s="11" t="str">
        <f t="shared" si="104"/>
        <v>Creditor</v>
      </c>
      <c r="K168" s="11" t="str">
        <f>"CS000372"</f>
        <v>CS000372</v>
      </c>
      <c r="L168" s="10" t="str">
        <f>"European Electronique"</f>
        <v>European Electronique</v>
      </c>
      <c r="M168" s="12" t="str">
        <f>"11/01/2017 00:00:00"</f>
        <v>11/01/2017 00:00:00</v>
      </c>
      <c r="N168" s="12">
        <v>42746</v>
      </c>
      <c r="O168" s="10" t="str">
        <f>"C007258"</f>
        <v>C007258</v>
      </c>
      <c r="P168" s="13">
        <v>398</v>
      </c>
      <c r="Q168" s="11" t="str">
        <f>"398.0000"</f>
        <v>398.0000</v>
      </c>
      <c r="R168" s="10" t="str">
        <f>"C0004346"</f>
        <v>C0004346</v>
      </c>
      <c r="S168" s="14" t="str">
        <f>"1191.1600"</f>
        <v>1191.1600</v>
      </c>
      <c r="T168" s="10">
        <v>21733</v>
      </c>
      <c r="U168" s="10">
        <v>1400</v>
      </c>
      <c r="V168" s="10" t="str">
        <f>"Equipment, furniture and mats"</f>
        <v>Equipment, furniture and mats</v>
      </c>
      <c r="W168" s="10" t="str">
        <f>"Supplies and Services"</f>
        <v>Supplies and Services</v>
      </c>
      <c r="X168" s="10" t="str">
        <f>VLOOKUP(U168,'[1]Account code lookup'!A:B,2,0)</f>
        <v>Equipment General</v>
      </c>
      <c r="Z168" s="10" t="str">
        <f>"Information Services"</f>
        <v>Information Services</v>
      </c>
      <c r="AA168" s="10" t="str">
        <f>"Commercial Development"</f>
        <v>Commercial Development</v>
      </c>
      <c r="AB168" s="10" t="str">
        <f>"2cdb"</f>
        <v>2cdb</v>
      </c>
      <c r="AD168" s="10" t="str">
        <f>"cdb04"</f>
        <v>cdb04</v>
      </c>
      <c r="AE168" s="10" t="str">
        <f>"ICT / Information Services"</f>
        <v>ICT / Information Services</v>
      </c>
      <c r="AG168" s="10" t="str">
        <f>"21733/1400"</f>
        <v>21733/1400</v>
      </c>
      <c r="AI168" s="10" t="str">
        <f>"14suse"</f>
        <v>14suse</v>
      </c>
      <c r="AJ168" s="15" t="str">
        <f>"Projector Replacement Bulb_x000D_
Panasonic ET-LAE300"</f>
        <v>Projector Replacement Bulb_x000D_
Panasonic ET-LAE300</v>
      </c>
      <c r="AK168" s="10" t="str">
        <f t="shared" si="124"/>
        <v>Revenue</v>
      </c>
      <c r="AL168" s="10" t="str">
        <f>""</f>
        <v/>
      </c>
      <c r="AM168" s="10" t="str">
        <f>""</f>
        <v/>
      </c>
      <c r="AN168" s="10" t="str">
        <f>""</f>
        <v/>
      </c>
      <c r="AO168" s="10" t="str">
        <f>""</f>
        <v/>
      </c>
    </row>
    <row r="169" spans="1:41" s="10" customFormat="1" ht="409.6">
      <c r="A169" s="9"/>
      <c r="B169" s="9"/>
      <c r="C169" s="9"/>
      <c r="D169" s="10" t="str">
        <f>"32771"</f>
        <v>32771</v>
      </c>
      <c r="E169" s="11" t="str">
        <f>""</f>
        <v/>
      </c>
      <c r="F169" s="11" t="str">
        <f t="shared" si="100"/>
        <v>372418</v>
      </c>
      <c r="G169" s="11" t="str">
        <f t="shared" si="101"/>
        <v>2017toJAN</v>
      </c>
      <c r="H169" s="11" t="str">
        <f t="shared" si="102"/>
        <v>CRSP06B</v>
      </c>
      <c r="I169" s="11" t="str">
        <f t="shared" si="103"/>
        <v>34</v>
      </c>
      <c r="J169" s="11" t="str">
        <f t="shared" si="104"/>
        <v>Creditor</v>
      </c>
      <c r="K169" s="11" t="str">
        <f>"CS000372"</f>
        <v>CS000372</v>
      </c>
      <c r="L169" s="10" t="str">
        <f>"European Electronique"</f>
        <v>European Electronique</v>
      </c>
      <c r="M169" s="12" t="str">
        <f>"11/01/2017 00:00:00"</f>
        <v>11/01/2017 00:00:00</v>
      </c>
      <c r="N169" s="12">
        <v>42746</v>
      </c>
      <c r="O169" s="10" t="str">
        <f>"C007290"</f>
        <v>C007290</v>
      </c>
      <c r="P169" s="13">
        <v>121.14</v>
      </c>
      <c r="Q169" s="11" t="str">
        <f>"121.1400"</f>
        <v>121.1400</v>
      </c>
      <c r="R169" s="10" t="str">
        <f>"C0004346"</f>
        <v>C0004346</v>
      </c>
      <c r="S169" s="14" t="str">
        <f>"1191.1600"</f>
        <v>1191.1600</v>
      </c>
      <c r="T169" s="10">
        <v>29700</v>
      </c>
      <c r="U169" s="10">
        <v>1517</v>
      </c>
      <c r="V169" s="10" t="str">
        <f>"Communications and computing"</f>
        <v>Communications and computing</v>
      </c>
      <c r="W169" s="10" t="str">
        <f>"Supplies and Services"</f>
        <v>Supplies and Services</v>
      </c>
      <c r="X169" s="10" t="str">
        <f>VLOOKUP(U169,'[1]Account code lookup'!A:B,2,0)</f>
        <v>Computer Hardware Expenses</v>
      </c>
      <c r="Z169" s="10" t="str">
        <f>"Community Services"</f>
        <v>Community Services</v>
      </c>
      <c r="AA169" s="10" t="str">
        <f>"Operations and Delivery"</f>
        <v>Operations and Delivery</v>
      </c>
      <c r="AB169" s="10" t="str">
        <f>"5oad"</f>
        <v>5oad</v>
      </c>
      <c r="AD169" s="10" t="str">
        <f>"oad01"</f>
        <v>oad01</v>
      </c>
      <c r="AE169" s="10" t="str">
        <f>"Finance &amp; Procurement / Finance"</f>
        <v>Finance &amp; Procurement / Finance</v>
      </c>
      <c r="AG169" s="10" t="str">
        <f>"29700/1517"</f>
        <v>29700/1517</v>
      </c>
      <c r="AI169" s="10" t="str">
        <f>"14suse"</f>
        <v>14suse</v>
      </c>
      <c r="AJ169" s="15" t="str">
        <f>"HP 3y NextBusDayOnsite Notebook Only SVC_x000D_
Part No.U4391E"</f>
        <v>HP 3y NextBusDayOnsite Notebook Only SVC_x000D_
Part No.U4391E</v>
      </c>
      <c r="AK169" s="10" t="str">
        <f t="shared" si="124"/>
        <v>Revenue</v>
      </c>
      <c r="AL169" s="10" t="str">
        <f>""</f>
        <v/>
      </c>
      <c r="AM169" s="10" t="str">
        <f>""</f>
        <v/>
      </c>
      <c r="AN169" s="10" t="str">
        <f>""</f>
        <v/>
      </c>
      <c r="AO169" s="10" t="str">
        <f>""</f>
        <v/>
      </c>
    </row>
    <row r="170" spans="1:41" s="10" customFormat="1" ht="409.6">
      <c r="A170" s="9"/>
      <c r="B170" s="9"/>
      <c r="C170" s="9"/>
      <c r="D170" s="10" t="str">
        <f>"32825"</f>
        <v>32825</v>
      </c>
      <c r="E170" s="11" t="str">
        <f>""</f>
        <v/>
      </c>
      <c r="F170" s="11" t="str">
        <f t="shared" si="100"/>
        <v>372418</v>
      </c>
      <c r="G170" s="11" t="str">
        <f t="shared" si="101"/>
        <v>2017toJAN</v>
      </c>
      <c r="H170" s="11" t="str">
        <f t="shared" si="102"/>
        <v>CRSP06B</v>
      </c>
      <c r="I170" s="11" t="str">
        <f t="shared" si="103"/>
        <v>34</v>
      </c>
      <c r="J170" s="11" t="str">
        <f t="shared" si="104"/>
        <v>Creditor</v>
      </c>
      <c r="K170" s="11" t="str">
        <f>"CS000372"</f>
        <v>CS000372</v>
      </c>
      <c r="L170" s="10" t="str">
        <f>"European Electronique"</f>
        <v>European Electronique</v>
      </c>
      <c r="M170" s="12" t="str">
        <f>"11/01/2017 00:00:00"</f>
        <v>11/01/2017 00:00:00</v>
      </c>
      <c r="N170" s="12">
        <v>42746</v>
      </c>
      <c r="O170" s="10" t="str">
        <f>"C007290"</f>
        <v>C007290</v>
      </c>
      <c r="P170" s="13">
        <v>13.99</v>
      </c>
      <c r="Q170" s="11" t="str">
        <f>"13.9900"</f>
        <v>13.9900</v>
      </c>
      <c r="R170" s="10" t="str">
        <f>"C0004346"</f>
        <v>C0004346</v>
      </c>
      <c r="S170" s="14" t="str">
        <f>"1191.1600"</f>
        <v>1191.1600</v>
      </c>
      <c r="T170" s="10">
        <v>29700</v>
      </c>
      <c r="U170" s="10">
        <v>1517</v>
      </c>
      <c r="V170" s="10" t="str">
        <f>"Communications and computing"</f>
        <v>Communications and computing</v>
      </c>
      <c r="W170" s="10" t="str">
        <f>"Supplies and Services"</f>
        <v>Supplies and Services</v>
      </c>
      <c r="X170" s="10" t="str">
        <f>VLOOKUP(U170,'[1]Account code lookup'!A:B,2,0)</f>
        <v>Computer Hardware Expenses</v>
      </c>
      <c r="Z170" s="10" t="str">
        <f>"Community Services"</f>
        <v>Community Services</v>
      </c>
      <c r="AA170" s="10" t="str">
        <f>"Operations and Delivery"</f>
        <v>Operations and Delivery</v>
      </c>
      <c r="AB170" s="10" t="str">
        <f>"5oad"</f>
        <v>5oad</v>
      </c>
      <c r="AD170" s="10" t="str">
        <f>"oad01"</f>
        <v>oad01</v>
      </c>
      <c r="AE170" s="10" t="str">
        <f>"Finance &amp; Procurement / Finance"</f>
        <v>Finance &amp; Procurement / Finance</v>
      </c>
      <c r="AG170" s="10" t="str">
        <f>"29700/1517"</f>
        <v>29700/1517</v>
      </c>
      <c r="AI170" s="10" t="str">
        <f>"14suse"</f>
        <v>14suse</v>
      </c>
      <c r="AJ170" s="15" t="str">
        <f>"HP Essential Top Load Case_x000D_
Part No.H2W17AA"</f>
        <v>HP Essential Top Load Case_x000D_
Part No.H2W17AA</v>
      </c>
      <c r="AK170" s="10" t="str">
        <f t="shared" si="124"/>
        <v>Revenue</v>
      </c>
      <c r="AL170" s="10" t="str">
        <f>""</f>
        <v/>
      </c>
      <c r="AM170" s="10" t="str">
        <f>""</f>
        <v/>
      </c>
      <c r="AN170" s="10" t="str">
        <f>""</f>
        <v/>
      </c>
      <c r="AO170" s="10" t="str">
        <f>""</f>
        <v/>
      </c>
    </row>
    <row r="171" spans="1:41" s="10" customFormat="1" ht="409.6">
      <c r="A171" s="9"/>
      <c r="B171" s="9"/>
      <c r="C171" s="9"/>
      <c r="D171" s="10" t="str">
        <f>"32916"</f>
        <v>32916</v>
      </c>
      <c r="E171" s="11" t="str">
        <f>""</f>
        <v/>
      </c>
      <c r="F171" s="11" t="str">
        <f t="shared" si="100"/>
        <v>372418</v>
      </c>
      <c r="G171" s="11" t="str">
        <f t="shared" si="101"/>
        <v>2017toJAN</v>
      </c>
      <c r="H171" s="11" t="str">
        <f t="shared" si="102"/>
        <v>CRSP06B</v>
      </c>
      <c r="I171" s="11" t="str">
        <f t="shared" si="103"/>
        <v>34</v>
      </c>
      <c r="J171" s="11" t="str">
        <f t="shared" si="104"/>
        <v>Creditor</v>
      </c>
      <c r="K171" s="11" t="str">
        <f>"CS000372"</f>
        <v>CS000372</v>
      </c>
      <c r="L171" s="10" t="str">
        <f>"European Electronique"</f>
        <v>European Electronique</v>
      </c>
      <c r="M171" s="12" t="str">
        <f>"11/01/2017 00:00:00"</f>
        <v>11/01/2017 00:00:00</v>
      </c>
      <c r="N171" s="12">
        <v>42746</v>
      </c>
      <c r="O171" s="10" t="str">
        <f>"C007290"</f>
        <v>C007290</v>
      </c>
      <c r="P171" s="13">
        <v>459.5</v>
      </c>
      <c r="Q171" s="11" t="str">
        <f>"459.5000"</f>
        <v>459.5000</v>
      </c>
      <c r="R171" s="10" t="str">
        <f>"C0004346"</f>
        <v>C0004346</v>
      </c>
      <c r="S171" s="14" t="str">
        <f>"1191.1600"</f>
        <v>1191.1600</v>
      </c>
      <c r="T171" s="10">
        <v>29700</v>
      </c>
      <c r="U171" s="10">
        <v>1517</v>
      </c>
      <c r="V171" s="10" t="str">
        <f>"Communications and computing"</f>
        <v>Communications and computing</v>
      </c>
      <c r="W171" s="10" t="str">
        <f>"Supplies and Services"</f>
        <v>Supplies and Services</v>
      </c>
      <c r="X171" s="10" t="str">
        <f>VLOOKUP(U171,'[1]Account code lookup'!A:B,2,0)</f>
        <v>Computer Hardware Expenses</v>
      </c>
      <c r="Z171" s="10" t="str">
        <f>"Community Services"</f>
        <v>Community Services</v>
      </c>
      <c r="AA171" s="10" t="str">
        <f>"Operations and Delivery"</f>
        <v>Operations and Delivery</v>
      </c>
      <c r="AB171" s="10" t="str">
        <f>"5oad"</f>
        <v>5oad</v>
      </c>
      <c r="AD171" s="10" t="str">
        <f>"oad01"</f>
        <v>oad01</v>
      </c>
      <c r="AE171" s="10" t="str">
        <f>"Finance &amp; Procurement / Finance"</f>
        <v>Finance &amp; Procurement / Finance</v>
      </c>
      <c r="AG171" s="10" t="str">
        <f>"29700/1517"</f>
        <v>29700/1517</v>
      </c>
      <c r="AI171" s="10" t="str">
        <f>"14suse"</f>
        <v>14suse</v>
      </c>
      <c r="AJ171" s="15" t="str">
        <f>"HP ProBook 450 G3_x000D_
Part No.W4P32ET"</f>
        <v>HP ProBook 450 G3_x000D_
Part No.W4P32ET</v>
      </c>
      <c r="AK171" s="10" t="str">
        <f t="shared" si="124"/>
        <v>Revenue</v>
      </c>
      <c r="AL171" s="10" t="str">
        <f>""</f>
        <v/>
      </c>
      <c r="AM171" s="10" t="str">
        <f>""</f>
        <v/>
      </c>
      <c r="AN171" s="10" t="str">
        <f>""</f>
        <v/>
      </c>
      <c r="AO171" s="10" t="str">
        <f>""</f>
        <v/>
      </c>
    </row>
    <row r="172" spans="1:41" s="10" customFormat="1" ht="409.6">
      <c r="A172" s="9"/>
      <c r="B172" s="9"/>
      <c r="C172" s="9"/>
      <c r="D172" s="10" t="str">
        <f>"32917"</f>
        <v>32917</v>
      </c>
      <c r="E172" s="11" t="str">
        <f>""</f>
        <v/>
      </c>
      <c r="F172" s="11" t="str">
        <f t="shared" si="100"/>
        <v>372418</v>
      </c>
      <c r="G172" s="11" t="str">
        <f t="shared" si="101"/>
        <v>2017toJAN</v>
      </c>
      <c r="H172" s="11" t="str">
        <f t="shared" si="102"/>
        <v>CRSP06B</v>
      </c>
      <c r="I172" s="11" t="str">
        <f t="shared" si="103"/>
        <v>34</v>
      </c>
      <c r="J172" s="11" t="str">
        <f t="shared" si="104"/>
        <v>Creditor</v>
      </c>
      <c r="K172" s="11" t="str">
        <f>"CS002562"</f>
        <v>CS002562</v>
      </c>
      <c r="L172" s="10" t="str">
        <f>"Eversheds LLP"</f>
        <v>Eversheds LLP</v>
      </c>
      <c r="M172" s="12" t="str">
        <f>"19/01/2017 00:00:00"</f>
        <v>19/01/2017 00:00:00</v>
      </c>
      <c r="N172" s="12">
        <v>42754</v>
      </c>
      <c r="O172" s="10" t="str">
        <f>"C007593"</f>
        <v>C007593</v>
      </c>
      <c r="P172" s="13">
        <v>875</v>
      </c>
      <c r="Q172" s="11" t="str">
        <f>"875.0000"</f>
        <v>875.0000</v>
      </c>
      <c r="R172" s="10" t="str">
        <f>"059248"</f>
        <v>059248</v>
      </c>
      <c r="S172" s="14" t="str">
        <f>"1050.0000"</f>
        <v>1050.0000</v>
      </c>
      <c r="T172" s="10">
        <v>29110</v>
      </c>
      <c r="U172" s="10">
        <v>1767</v>
      </c>
      <c r="V172" s="10" t="str">
        <f>"Professional Fees"</f>
        <v>Professional Fees</v>
      </c>
      <c r="W172" s="10" t="str">
        <f>"Third Party Payments"</f>
        <v>Third Party Payments</v>
      </c>
      <c r="X172" s="10" t="str">
        <f>VLOOKUP(U172,'[1]Account code lookup'!A:B,2,0)</f>
        <v>Professional Fees</v>
      </c>
      <c r="Z172" s="10" t="str">
        <f>"Development Management"</f>
        <v>Development Management</v>
      </c>
      <c r="AA172" s="10" t="str">
        <f>"Strategy and Commissioning"</f>
        <v>Strategy and Commissioning</v>
      </c>
      <c r="AB172" s="10" t="str">
        <f>"4sac"</f>
        <v>4sac</v>
      </c>
      <c r="AD172" s="10" t="str">
        <f>"sac02"</f>
        <v>sac02</v>
      </c>
      <c r="AE172" s="10" t="str">
        <f>"Law &amp; Governance / Legal"</f>
        <v>Law &amp; Governance / Legal</v>
      </c>
      <c r="AG172" s="10" t="str">
        <f>"29110/1767"</f>
        <v>29110/1767</v>
      </c>
      <c r="AI172" s="10" t="str">
        <f>"17tpp"</f>
        <v>17tpp</v>
      </c>
      <c r="AJ172" s="15" t="str">
        <f>"Banbury 17 Link Road Issue. Professional fees 24.10.16-03.11.16"</f>
        <v>Banbury 17 Link Road Issue. Professional fees 24.10.16-03.11.16</v>
      </c>
      <c r="AK172" s="10" t="str">
        <f t="shared" si="124"/>
        <v>Revenue</v>
      </c>
      <c r="AL172" s="10" t="str">
        <f>""</f>
        <v/>
      </c>
      <c r="AM172" s="10" t="str">
        <f>""</f>
        <v/>
      </c>
      <c r="AN172" s="10" t="str">
        <f>""</f>
        <v/>
      </c>
      <c r="AO172" s="10" t="str">
        <f>""</f>
        <v/>
      </c>
    </row>
    <row r="173" spans="1:41" s="10" customFormat="1" ht="409.6">
      <c r="A173" s="9"/>
      <c r="B173" s="9"/>
      <c r="C173" s="9"/>
      <c r="D173" s="10" t="str">
        <f>"33230"</f>
        <v>33230</v>
      </c>
      <c r="E173" s="11" t="str">
        <f>""</f>
        <v/>
      </c>
      <c r="F173" s="11" t="str">
        <f t="shared" si="100"/>
        <v>372418</v>
      </c>
      <c r="G173" s="11" t="str">
        <f t="shared" si="101"/>
        <v>2017toJAN</v>
      </c>
      <c r="H173" s="11" t="str">
        <f t="shared" si="102"/>
        <v>CRSP06B</v>
      </c>
      <c r="I173" s="11" t="str">
        <f t="shared" si="103"/>
        <v>34</v>
      </c>
      <c r="J173" s="11" t="str">
        <f t="shared" si="104"/>
        <v>Creditor</v>
      </c>
      <c r="K173" s="11" t="str">
        <f>"CS002313"</f>
        <v>CS002313</v>
      </c>
      <c r="L173" s="10" t="str">
        <f>"Fabric First Modular Ltd"</f>
        <v>Fabric First Modular Ltd</v>
      </c>
      <c r="M173" s="12" t="str">
        <f>"18/01/2017 00:00:00"</f>
        <v>18/01/2017 00:00:00</v>
      </c>
      <c r="N173" s="12">
        <v>42753</v>
      </c>
      <c r="O173" s="10" t="str">
        <f>"C007889"</f>
        <v>C007889</v>
      </c>
      <c r="P173" s="13">
        <v>101508.73</v>
      </c>
      <c r="Q173" s="11" t="str">
        <f>"101508.7300"</f>
        <v>101508.7300</v>
      </c>
      <c r="R173" s="10" t="str">
        <f>"C0004484"</f>
        <v>C0004484</v>
      </c>
      <c r="S173" s="14" t="str">
        <f>"121810.4800"</f>
        <v>121810.4800</v>
      </c>
      <c r="T173" s="10">
        <v>40108</v>
      </c>
      <c r="U173" s="10">
        <v>4100</v>
      </c>
      <c r="V173" s="10" t="str">
        <f>"Capital Works"</f>
        <v>Capital Works</v>
      </c>
      <c r="W173" s="10" t="str">
        <f>"Capital Works"</f>
        <v>Capital Works</v>
      </c>
      <c r="X173" s="10" t="str">
        <f>VLOOKUP(U173,'[1]Account code lookup'!A:B,2,0)</f>
        <v>Contractors Capital Payments</v>
      </c>
      <c r="Z173" s="10" t="str">
        <f>"Capital Regen and Housing"</f>
        <v>Capital Regen and Housing</v>
      </c>
      <c r="AA173" s="10" t="str">
        <f>"Commercial Development Capital"</f>
        <v>Commercial Development Capital</v>
      </c>
      <c r="AB173" s="10" t="str">
        <f>"c2cdb"</f>
        <v>c2cdb</v>
      </c>
      <c r="AD173" s="10" t="str">
        <f>"ccdb02"</f>
        <v>ccdb02</v>
      </c>
      <c r="AE173" s="10" t="str">
        <f>"Regeneration &amp; Housing / Delivery Team"</f>
        <v>Regeneration &amp; Housing / Delivery Team</v>
      </c>
      <c r="AG173" s="10" t="str">
        <f>"40108/4100"</f>
        <v>40108/4100</v>
      </c>
      <c r="AI173" s="10" t="str">
        <f>"41cwrk"</f>
        <v>41cwrk</v>
      </c>
      <c r="AJ173" s="15" t="str">
        <f>"BANBURY AMBULANCE STATION:_x000D_
Design of and construction of six houses in multiple occupation including external works._x000D_
Submitted by DS 08/09/16."</f>
        <v>BANBURY AMBULANCE STATION:_x000D_
Design of and construction of six houses in multiple occupation including external works._x000D_
Submitted by DS 08/09/16.</v>
      </c>
      <c r="AK173" s="10" t="str">
        <f>"Capital"</f>
        <v>Capital</v>
      </c>
      <c r="AL173" s="10" t="str">
        <f>""</f>
        <v/>
      </c>
      <c r="AM173" s="10" t="str">
        <f>""</f>
        <v/>
      </c>
      <c r="AN173" s="10" t="str">
        <f>""</f>
        <v/>
      </c>
      <c r="AO173" s="10" t="str">
        <f>""</f>
        <v/>
      </c>
    </row>
    <row r="174" spans="1:41" s="10" customFormat="1" ht="409.6">
      <c r="A174" s="9"/>
      <c r="B174" s="9"/>
      <c r="C174" s="9"/>
      <c r="D174" s="10" t="str">
        <f>"33901"</f>
        <v>33901</v>
      </c>
      <c r="E174" s="11" t="str">
        <f>""</f>
        <v/>
      </c>
      <c r="F174" s="11" t="str">
        <f t="shared" si="100"/>
        <v>372418</v>
      </c>
      <c r="G174" s="11" t="str">
        <f t="shared" si="101"/>
        <v>2017toJAN</v>
      </c>
      <c r="H174" s="11" t="str">
        <f t="shared" si="102"/>
        <v>CRSP06B</v>
      </c>
      <c r="I174" s="11" t="str">
        <f t="shared" si="103"/>
        <v>34</v>
      </c>
      <c r="J174" s="11" t="str">
        <f t="shared" si="104"/>
        <v>Creditor</v>
      </c>
      <c r="K174" s="11" t="str">
        <f t="shared" ref="K174:K179" si="125">"CS000307"</f>
        <v>CS000307</v>
      </c>
      <c r="L174" s="10" t="str">
        <f t="shared" ref="L174:L179" si="126">"Financial Data Management"</f>
        <v>Financial Data Management</v>
      </c>
      <c r="M174" s="12" t="str">
        <f>"16/01/2017 00:00:00"</f>
        <v>16/01/2017 00:00:00</v>
      </c>
      <c r="N174" s="12">
        <v>42751</v>
      </c>
      <c r="O174" s="10" t="str">
        <f>"C007500"</f>
        <v>C007500</v>
      </c>
      <c r="P174" s="13">
        <v>8395.3799999999992</v>
      </c>
      <c r="Q174" s="11" t="str">
        <f>"8395.3800"</f>
        <v>8395.3800</v>
      </c>
      <c r="R174" s="10" t="str">
        <f>"C0004426"</f>
        <v>C0004426</v>
      </c>
      <c r="S174" s="14" t="str">
        <f>"10074.4600"</f>
        <v>10074.4600</v>
      </c>
      <c r="T174" s="10">
        <v>21100</v>
      </c>
      <c r="U174" s="10">
        <v>1510</v>
      </c>
      <c r="V174" s="10" t="str">
        <f>"Communications and computing"</f>
        <v>Communications and computing</v>
      </c>
      <c r="W174" s="10" t="str">
        <f t="shared" ref="W174:W179" si="127">"Supplies and Services"</f>
        <v>Supplies and Services</v>
      </c>
      <c r="X174" s="10" t="str">
        <f>VLOOKUP(U174,'[1]Account code lookup'!A:B,2,0)</f>
        <v>Postages Expenses</v>
      </c>
      <c r="Z174" s="10" t="str">
        <f t="shared" ref="Z174:Z179" si="128">"Law and Governance"</f>
        <v>Law and Governance</v>
      </c>
      <c r="AA174" s="10" t="str">
        <f t="shared" ref="AA174:AA179" si="129">"Strategy and Commissioning"</f>
        <v>Strategy and Commissioning</v>
      </c>
      <c r="AB174" s="10" t="str">
        <f t="shared" ref="AB174:AB179" si="130">"4sac"</f>
        <v>4sac</v>
      </c>
      <c r="AD174" s="10" t="str">
        <f t="shared" ref="AD174:AD179" si="131">"sac07"</f>
        <v>sac07</v>
      </c>
      <c r="AE174" s="10" t="str">
        <f t="shared" ref="AE174:AE179" si="132">"Law &amp; Governance / Legal"</f>
        <v>Law &amp; Governance / Legal</v>
      </c>
      <c r="AG174" s="10" t="str">
        <f>"21100/1510"</f>
        <v>21100/1510</v>
      </c>
      <c r="AI174" s="10" t="str">
        <f t="shared" ref="AI174:AI179" si="133">"14suse"</f>
        <v>14suse</v>
      </c>
      <c r="AJ174" s="15" t="str">
        <f>"Postage Review Letters 2016 - 31,094 letters under 100 gram sorted"</f>
        <v>Postage Review Letters 2016 - 31,094 letters under 100 gram sorted</v>
      </c>
      <c r="AK174" s="10" t="str">
        <f t="shared" ref="AK174:AK179" si="134">"Revenue"</f>
        <v>Revenue</v>
      </c>
      <c r="AL174" s="10" t="str">
        <f>""</f>
        <v/>
      </c>
      <c r="AM174" s="10" t="str">
        <f>""</f>
        <v/>
      </c>
      <c r="AN174" s="10" t="str">
        <f>""</f>
        <v/>
      </c>
      <c r="AO174" s="10" t="str">
        <f>""</f>
        <v/>
      </c>
    </row>
    <row r="175" spans="1:41" s="10" customFormat="1" ht="409.6">
      <c r="A175" s="9"/>
      <c r="B175" s="9"/>
      <c r="C175" s="9"/>
      <c r="D175" s="10" t="str">
        <f>"33915"</f>
        <v>33915</v>
      </c>
      <c r="E175" s="11" t="str">
        <f>""</f>
        <v/>
      </c>
      <c r="F175" s="11" t="str">
        <f t="shared" si="100"/>
        <v>372418</v>
      </c>
      <c r="G175" s="11" t="str">
        <f t="shared" si="101"/>
        <v>2017toJAN</v>
      </c>
      <c r="H175" s="11" t="str">
        <f t="shared" si="102"/>
        <v>CRSP06B</v>
      </c>
      <c r="I175" s="11" t="str">
        <f t="shared" si="103"/>
        <v>34</v>
      </c>
      <c r="J175" s="11" t="str">
        <f t="shared" si="104"/>
        <v>Creditor</v>
      </c>
      <c r="K175" s="11" t="str">
        <f t="shared" si="125"/>
        <v>CS000307</v>
      </c>
      <c r="L175" s="10" t="str">
        <f t="shared" si="126"/>
        <v>Financial Data Management</v>
      </c>
      <c r="M175" s="12" t="str">
        <f>"18/01/2017 00:00:00"</f>
        <v>18/01/2017 00:00:00</v>
      </c>
      <c r="N175" s="12">
        <v>42753</v>
      </c>
      <c r="O175" s="10" t="str">
        <f>"C007501"</f>
        <v>C007501</v>
      </c>
      <c r="P175" s="13">
        <v>665.61</v>
      </c>
      <c r="Q175" s="11" t="str">
        <f>"665.6100"</f>
        <v>665.6100</v>
      </c>
      <c r="R175" s="10" t="str">
        <f>"C0004459"</f>
        <v>C0004459</v>
      </c>
      <c r="S175" s="14" t="str">
        <f>"807.0500"</f>
        <v>807.0500</v>
      </c>
      <c r="T175" s="10">
        <v>21120</v>
      </c>
      <c r="U175" s="10">
        <v>1510</v>
      </c>
      <c r="V175" s="10" t="str">
        <f>"Communications and computing"</f>
        <v>Communications and computing</v>
      </c>
      <c r="W175" s="10" t="str">
        <f t="shared" si="127"/>
        <v>Supplies and Services</v>
      </c>
      <c r="X175" s="10" t="str">
        <f>VLOOKUP(U175,'[1]Account code lookup'!A:B,2,0)</f>
        <v>Postages Expenses</v>
      </c>
      <c r="Z175" s="10" t="str">
        <f t="shared" si="128"/>
        <v>Law and Governance</v>
      </c>
      <c r="AA175" s="10" t="str">
        <f t="shared" si="129"/>
        <v>Strategy and Commissioning</v>
      </c>
      <c r="AB175" s="10" t="str">
        <f t="shared" si="130"/>
        <v>4sac</v>
      </c>
      <c r="AD175" s="10" t="str">
        <f t="shared" si="131"/>
        <v>sac07</v>
      </c>
      <c r="AE175" s="10" t="str">
        <f t="shared" si="132"/>
        <v>Law &amp; Governance / Legal</v>
      </c>
      <c r="AG175" s="10" t="str">
        <f>"21120/1510"</f>
        <v>21120/1510</v>
      </c>
      <c r="AI175" s="10" t="str">
        <f t="shared" si="133"/>
        <v>14suse</v>
      </c>
      <c r="AJ175" s="15" t="str">
        <f>"Postage - Postal Vote refresher Run1 Dec 16- 2017 Letters under 100 gram unsorted"</f>
        <v>Postage - Postal Vote refresher Run1 Dec 16- 2017 Letters under 100 gram unsorted</v>
      </c>
      <c r="AK175" s="10" t="str">
        <f t="shared" si="134"/>
        <v>Revenue</v>
      </c>
      <c r="AL175" s="10" t="str">
        <f>""</f>
        <v/>
      </c>
      <c r="AM175" s="10" t="str">
        <f>""</f>
        <v/>
      </c>
      <c r="AN175" s="10" t="str">
        <f>""</f>
        <v/>
      </c>
      <c r="AO175" s="10" t="str">
        <f>""</f>
        <v/>
      </c>
    </row>
    <row r="176" spans="1:41" s="10" customFormat="1" ht="409.6">
      <c r="A176" s="9"/>
      <c r="B176" s="9"/>
      <c r="C176" s="9"/>
      <c r="D176" s="10" t="str">
        <f>"34557"</f>
        <v>34557</v>
      </c>
      <c r="E176" s="11" t="str">
        <f>""</f>
        <v/>
      </c>
      <c r="F176" s="11" t="str">
        <f t="shared" si="100"/>
        <v>372418</v>
      </c>
      <c r="G176" s="11" t="str">
        <f t="shared" si="101"/>
        <v>2017toJAN</v>
      </c>
      <c r="H176" s="11" t="str">
        <f t="shared" si="102"/>
        <v>CRSP06B</v>
      </c>
      <c r="I176" s="11" t="str">
        <f t="shared" si="103"/>
        <v>34</v>
      </c>
      <c r="J176" s="11" t="str">
        <f t="shared" si="104"/>
        <v>Creditor</v>
      </c>
      <c r="K176" s="11" t="str">
        <f t="shared" si="125"/>
        <v>CS000307</v>
      </c>
      <c r="L176" s="10" t="str">
        <f t="shared" si="126"/>
        <v>Financial Data Management</v>
      </c>
      <c r="M176" s="12" t="str">
        <f>"18/01/2017 00:00:00"</f>
        <v>18/01/2017 00:00:00</v>
      </c>
      <c r="N176" s="12">
        <v>42753</v>
      </c>
      <c r="O176" s="10" t="str">
        <f>"C007499"</f>
        <v>C007499</v>
      </c>
      <c r="P176" s="13">
        <v>6.93</v>
      </c>
      <c r="Q176" s="11" t="str">
        <f>"6.9300"</f>
        <v>6.9300</v>
      </c>
      <c r="R176" s="10" t="str">
        <f>"C0004459"</f>
        <v>C0004459</v>
      </c>
      <c r="S176" s="14" t="str">
        <f>"807.0500"</f>
        <v>807.0500</v>
      </c>
      <c r="T176" s="10">
        <v>21120</v>
      </c>
      <c r="U176" s="10">
        <v>1510</v>
      </c>
      <c r="V176" s="10" t="str">
        <f>"Communications and computing"</f>
        <v>Communications and computing</v>
      </c>
      <c r="W176" s="10" t="str">
        <f t="shared" si="127"/>
        <v>Supplies and Services</v>
      </c>
      <c r="X176" s="10" t="str">
        <f>VLOOKUP(U176,'[1]Account code lookup'!A:B,2,0)</f>
        <v>Postages Expenses</v>
      </c>
      <c r="Z176" s="10" t="str">
        <f t="shared" si="128"/>
        <v>Law and Governance</v>
      </c>
      <c r="AA176" s="10" t="str">
        <f t="shared" si="129"/>
        <v>Strategy and Commissioning</v>
      </c>
      <c r="AB176" s="10" t="str">
        <f t="shared" si="130"/>
        <v>4sac</v>
      </c>
      <c r="AD176" s="10" t="str">
        <f t="shared" si="131"/>
        <v>sac07</v>
      </c>
      <c r="AE176" s="10" t="str">
        <f t="shared" si="132"/>
        <v>Law &amp; Governance / Legal</v>
      </c>
      <c r="AG176" s="10" t="str">
        <f>"21120/1510"</f>
        <v>21120/1510</v>
      </c>
      <c r="AI176" s="10" t="str">
        <f t="shared" si="133"/>
        <v>14suse</v>
      </c>
      <c r="AJ176" s="15" t="str">
        <f>"Postage Cherwell Poll cards Kidlington Parish Council - Exeter Ward By-Election Run 2 Dec 16 - 21 letters under 100 gram - unsorted"</f>
        <v>Postage Cherwell Poll cards Kidlington Parish Council - Exeter Ward By-Election Run 2 Dec 16 - 21 letters under 100 gram - unsorted</v>
      </c>
      <c r="AK176" s="10" t="str">
        <f t="shared" si="134"/>
        <v>Revenue</v>
      </c>
      <c r="AL176" s="10" t="str">
        <f>""</f>
        <v/>
      </c>
      <c r="AM176" s="10" t="str">
        <f>""</f>
        <v/>
      </c>
      <c r="AN176" s="10" t="str">
        <f>""</f>
        <v/>
      </c>
      <c r="AO176" s="10" t="str">
        <f>""</f>
        <v/>
      </c>
    </row>
    <row r="177" spans="1:41" s="10" customFormat="1" ht="409.6">
      <c r="A177" s="9"/>
      <c r="B177" s="9"/>
      <c r="C177" s="9"/>
      <c r="D177" s="10" t="str">
        <f>"34558"</f>
        <v>34558</v>
      </c>
      <c r="E177" s="11" t="str">
        <f>""</f>
        <v/>
      </c>
      <c r="F177" s="11" t="str">
        <f t="shared" si="100"/>
        <v>372418</v>
      </c>
      <c r="G177" s="11" t="str">
        <f t="shared" si="101"/>
        <v>2017toJAN</v>
      </c>
      <c r="H177" s="11" t="str">
        <f t="shared" si="102"/>
        <v>CRSP06B</v>
      </c>
      <c r="I177" s="11" t="str">
        <f t="shared" si="103"/>
        <v>34</v>
      </c>
      <c r="J177" s="11" t="str">
        <f t="shared" si="104"/>
        <v>Creditor</v>
      </c>
      <c r="K177" s="11" t="str">
        <f t="shared" si="125"/>
        <v>CS000307</v>
      </c>
      <c r="L177" s="10" t="str">
        <f t="shared" si="126"/>
        <v>Financial Data Management</v>
      </c>
      <c r="M177" s="12" t="str">
        <f>"27/01/2017 00:00:00"</f>
        <v>27/01/2017 00:00:00</v>
      </c>
      <c r="N177" s="12">
        <v>42762</v>
      </c>
      <c r="O177" s="10" t="str">
        <f>"C008119"</f>
        <v>C008119</v>
      </c>
      <c r="P177" s="13">
        <v>1637.35</v>
      </c>
      <c r="Q177" s="11" t="str">
        <f>"1637.3500"</f>
        <v>1637.3500</v>
      </c>
      <c r="R177" s="10" t="str">
        <f>"C0004584"</f>
        <v>C0004584</v>
      </c>
      <c r="S177" s="14" t="str">
        <f>"7424.4800"</f>
        <v>7424.4800</v>
      </c>
      <c r="T177" s="10">
        <v>21120</v>
      </c>
      <c r="U177" s="10">
        <v>1446</v>
      </c>
      <c r="V177" s="10" t="str">
        <f>"Printing Stationery &amp; Off Supp"</f>
        <v>Printing Stationery &amp; Off Supp</v>
      </c>
      <c r="W177" s="10" t="str">
        <f t="shared" si="127"/>
        <v>Supplies and Services</v>
      </c>
      <c r="X177" s="10" t="str">
        <f>VLOOKUP(U177,'[1]Account code lookup'!A:B,2,0)</f>
        <v>External Print &amp; Design Work</v>
      </c>
      <c r="Z177" s="10" t="str">
        <f t="shared" si="128"/>
        <v>Law and Governance</v>
      </c>
      <c r="AA177" s="10" t="str">
        <f t="shared" si="129"/>
        <v>Strategy and Commissioning</v>
      </c>
      <c r="AB177" s="10" t="str">
        <f t="shared" si="130"/>
        <v>4sac</v>
      </c>
      <c r="AD177" s="10" t="str">
        <f t="shared" si="131"/>
        <v>sac07</v>
      </c>
      <c r="AE177" s="10" t="str">
        <f t="shared" si="132"/>
        <v>Law &amp; Governance / Legal</v>
      </c>
      <c r="AG177" s="10" t="str">
        <f>"21120/1446"</f>
        <v>21120/1446</v>
      </c>
      <c r="AI177" s="10" t="str">
        <f t="shared" si="133"/>
        <v>14suse</v>
      </c>
      <c r="AJ177" s="15" t="str">
        <f>"Kidlington Parish Council - Exeter Ward By Election December 2016 Printing and artwork Poll cards and Postal Voting Packs, Ballot Papers etc"</f>
        <v>Kidlington Parish Council - Exeter Ward By Election December 2016 Printing and artwork Poll cards and Postal Voting Packs, Ballot Papers etc</v>
      </c>
      <c r="AK177" s="10" t="str">
        <f t="shared" si="134"/>
        <v>Revenue</v>
      </c>
      <c r="AL177" s="10" t="str">
        <f>""</f>
        <v/>
      </c>
      <c r="AM177" s="10" t="str">
        <f>""</f>
        <v/>
      </c>
      <c r="AN177" s="10" t="str">
        <f>""</f>
        <v/>
      </c>
      <c r="AO177" s="10" t="str">
        <f>""</f>
        <v/>
      </c>
    </row>
    <row r="178" spans="1:41" s="10" customFormat="1" ht="409.6">
      <c r="A178" s="9"/>
      <c r="B178" s="9"/>
      <c r="C178" s="9"/>
      <c r="D178" s="10" t="str">
        <f>"34593"</f>
        <v>34593</v>
      </c>
      <c r="E178" s="11" t="str">
        <f>""</f>
        <v/>
      </c>
      <c r="F178" s="11" t="str">
        <f t="shared" si="100"/>
        <v>372418</v>
      </c>
      <c r="G178" s="11" t="str">
        <f t="shared" si="101"/>
        <v>2017toJAN</v>
      </c>
      <c r="H178" s="11" t="str">
        <f t="shared" si="102"/>
        <v>CRSP06B</v>
      </c>
      <c r="I178" s="11" t="str">
        <f t="shared" si="103"/>
        <v>34</v>
      </c>
      <c r="J178" s="11" t="str">
        <f t="shared" si="104"/>
        <v>Creditor</v>
      </c>
      <c r="K178" s="11" t="str">
        <f t="shared" si="125"/>
        <v>CS000307</v>
      </c>
      <c r="L178" s="10" t="str">
        <f t="shared" si="126"/>
        <v>Financial Data Management</v>
      </c>
      <c r="M178" s="12" t="str">
        <f>"27/01/2017 00:00:00"</f>
        <v>27/01/2017 00:00:00</v>
      </c>
      <c r="N178" s="12">
        <v>42762</v>
      </c>
      <c r="O178" s="10" t="str">
        <f>"C008121"</f>
        <v>C008121</v>
      </c>
      <c r="P178" s="13">
        <v>2252.36</v>
      </c>
      <c r="Q178" s="11" t="str">
        <f>"2252.3600"</f>
        <v>2252.3600</v>
      </c>
      <c r="R178" s="10" t="str">
        <f>"C0004584"</f>
        <v>C0004584</v>
      </c>
      <c r="S178" s="14" t="str">
        <f>"7424.4800"</f>
        <v>7424.4800</v>
      </c>
      <c r="T178" s="10">
        <v>21120</v>
      </c>
      <c r="U178" s="10">
        <v>1446</v>
      </c>
      <c r="V178" s="10" t="str">
        <f>"Printing Stationery &amp; Off Supp"</f>
        <v>Printing Stationery &amp; Off Supp</v>
      </c>
      <c r="W178" s="10" t="str">
        <f t="shared" si="127"/>
        <v>Supplies and Services</v>
      </c>
      <c r="X178" s="10" t="str">
        <f>VLOOKUP(U178,'[1]Account code lookup'!A:B,2,0)</f>
        <v>External Print &amp; Design Work</v>
      </c>
      <c r="Z178" s="10" t="str">
        <f t="shared" si="128"/>
        <v>Law and Governance</v>
      </c>
      <c r="AA178" s="10" t="str">
        <f t="shared" si="129"/>
        <v>Strategy and Commissioning</v>
      </c>
      <c r="AB178" s="10" t="str">
        <f t="shared" si="130"/>
        <v>4sac</v>
      </c>
      <c r="AD178" s="10" t="str">
        <f t="shared" si="131"/>
        <v>sac07</v>
      </c>
      <c r="AE178" s="10" t="str">
        <f t="shared" si="132"/>
        <v>Law &amp; Governance / Legal</v>
      </c>
      <c r="AG178" s="10" t="str">
        <f>"21120/1446"</f>
        <v>21120/1446</v>
      </c>
      <c r="AI178" s="10" t="str">
        <f t="shared" si="133"/>
        <v>14suse</v>
      </c>
      <c r="AJ178" s="15" t="str">
        <f>"Mailshot Ongoing IER - Review Letters December 2016"</f>
        <v>Mailshot Ongoing IER - Review Letters December 2016</v>
      </c>
      <c r="AK178" s="10" t="str">
        <f t="shared" si="134"/>
        <v>Revenue</v>
      </c>
      <c r="AL178" s="10" t="str">
        <f>""</f>
        <v/>
      </c>
      <c r="AM178" s="10" t="str">
        <f>""</f>
        <v/>
      </c>
      <c r="AN178" s="10" t="str">
        <f>""</f>
        <v/>
      </c>
      <c r="AO178" s="10" t="str">
        <f>""</f>
        <v/>
      </c>
    </row>
    <row r="179" spans="1:41" s="10" customFormat="1" ht="409.6">
      <c r="A179" s="9"/>
      <c r="B179" s="9"/>
      <c r="C179" s="9"/>
      <c r="D179" s="10" t="str">
        <f>"34642"</f>
        <v>34642</v>
      </c>
      <c r="E179" s="11" t="str">
        <f>""</f>
        <v/>
      </c>
      <c r="F179" s="11" t="str">
        <f t="shared" si="100"/>
        <v>372418</v>
      </c>
      <c r="G179" s="11" t="str">
        <f t="shared" si="101"/>
        <v>2017toJAN</v>
      </c>
      <c r="H179" s="11" t="str">
        <f t="shared" si="102"/>
        <v>CRSP06B</v>
      </c>
      <c r="I179" s="11" t="str">
        <f t="shared" si="103"/>
        <v>34</v>
      </c>
      <c r="J179" s="11" t="str">
        <f t="shared" si="104"/>
        <v>Creditor</v>
      </c>
      <c r="K179" s="11" t="str">
        <f t="shared" si="125"/>
        <v>CS000307</v>
      </c>
      <c r="L179" s="10" t="str">
        <f t="shared" si="126"/>
        <v>Financial Data Management</v>
      </c>
      <c r="M179" s="12" t="str">
        <f>"27/01/2017 00:00:00"</f>
        <v>27/01/2017 00:00:00</v>
      </c>
      <c r="N179" s="12">
        <v>42762</v>
      </c>
      <c r="O179" s="10" t="str">
        <f>"C008122"</f>
        <v>C008122</v>
      </c>
      <c r="P179" s="13">
        <v>2297.35</v>
      </c>
      <c r="Q179" s="11" t="str">
        <f>"2297.3500"</f>
        <v>2297.3500</v>
      </c>
      <c r="R179" s="10" t="str">
        <f>"C0004584"</f>
        <v>C0004584</v>
      </c>
      <c r="S179" s="14" t="str">
        <f>"7424.4800"</f>
        <v>7424.4800</v>
      </c>
      <c r="T179" s="10">
        <v>21120</v>
      </c>
      <c r="U179" s="10">
        <v>1446</v>
      </c>
      <c r="V179" s="10" t="str">
        <f>"Printing Stationery &amp; Off Supp"</f>
        <v>Printing Stationery &amp; Off Supp</v>
      </c>
      <c r="W179" s="10" t="str">
        <f t="shared" si="127"/>
        <v>Supplies and Services</v>
      </c>
      <c r="X179" s="10" t="str">
        <f>VLOOKUP(U179,'[1]Account code lookup'!A:B,2,0)</f>
        <v>External Print &amp; Design Work</v>
      </c>
      <c r="Z179" s="10" t="str">
        <f t="shared" si="128"/>
        <v>Law and Governance</v>
      </c>
      <c r="AA179" s="10" t="str">
        <f t="shared" si="129"/>
        <v>Strategy and Commissioning</v>
      </c>
      <c r="AB179" s="10" t="str">
        <f t="shared" si="130"/>
        <v>4sac</v>
      </c>
      <c r="AD179" s="10" t="str">
        <f t="shared" si="131"/>
        <v>sac07</v>
      </c>
      <c r="AE179" s="10" t="str">
        <f t="shared" si="132"/>
        <v>Law &amp; Governance / Legal</v>
      </c>
      <c r="AG179" s="10" t="str">
        <f>"21120/1446"</f>
        <v>21120/1446</v>
      </c>
      <c r="AI179" s="10" t="str">
        <f t="shared" si="133"/>
        <v>14suse</v>
      </c>
      <c r="AJ179" s="15" t="str">
        <f>"Ongoing IER 2016/17 Monthly Billing December 2016 - RJ20 - RJ25"</f>
        <v>Ongoing IER 2016/17 Monthly Billing December 2016 - RJ20 - RJ25</v>
      </c>
      <c r="AK179" s="10" t="str">
        <f t="shared" si="134"/>
        <v>Revenue</v>
      </c>
      <c r="AL179" s="10" t="str">
        <f>""</f>
        <v/>
      </c>
      <c r="AM179" s="10" t="str">
        <f>""</f>
        <v/>
      </c>
      <c r="AN179" s="10" t="str">
        <f>""</f>
        <v/>
      </c>
      <c r="AO179" s="10" t="str">
        <f>""</f>
        <v/>
      </c>
    </row>
    <row r="180" spans="1:41" s="10" customFormat="1" ht="409.6">
      <c r="A180" s="9"/>
      <c r="B180" s="9"/>
      <c r="C180" s="9"/>
      <c r="D180" s="10" t="str">
        <f>"34909"</f>
        <v>34909</v>
      </c>
      <c r="E180" s="11" t="str">
        <f>""</f>
        <v/>
      </c>
      <c r="F180" s="11" t="str">
        <f t="shared" ref="F180:F226" si="135">"372418"</f>
        <v>372418</v>
      </c>
      <c r="G180" s="11" t="str">
        <f t="shared" ref="G180:G226" si="136">"2017toJAN"</f>
        <v>2017toJAN</v>
      </c>
      <c r="H180" s="11" t="str">
        <f t="shared" ref="H180:H226" si="137">"CRSP06B"</f>
        <v>CRSP06B</v>
      </c>
      <c r="I180" s="11" t="str">
        <f t="shared" ref="I180:I226" si="138">"34"</f>
        <v>34</v>
      </c>
      <c r="J180" s="11" t="str">
        <f t="shared" ref="J180:J226" si="139">"Creditor"</f>
        <v>Creditor</v>
      </c>
      <c r="K180" s="11" t="str">
        <f>"CS002360"</f>
        <v>CS002360</v>
      </c>
      <c r="L180" s="10" t="str">
        <f>"Freechoice Property Services Ltd"</f>
        <v>Freechoice Property Services Ltd</v>
      </c>
      <c r="M180" s="12" t="str">
        <f>"04/01/2017 00:00:00"</f>
        <v>04/01/2017 00:00:00</v>
      </c>
      <c r="N180" s="12">
        <v>42739</v>
      </c>
      <c r="O180" s="10" t="str">
        <f>"C007546"</f>
        <v>C007546</v>
      </c>
      <c r="P180" s="13">
        <v>4600</v>
      </c>
      <c r="Q180" s="11" t="str">
        <f>"4600.0000"</f>
        <v>4600.0000</v>
      </c>
      <c r="R180" s="10" t="str">
        <f>"C0004278"</f>
        <v>C0004278</v>
      </c>
      <c r="S180" s="14" t="str">
        <f>"5720.0000"</f>
        <v>5720.0000</v>
      </c>
      <c r="T180" s="10">
        <v>40083</v>
      </c>
      <c r="U180" s="10">
        <v>4100</v>
      </c>
      <c r="V180" s="10" t="str">
        <f t="shared" ref="V180:W184" si="140">"Capital Works"</f>
        <v>Capital Works</v>
      </c>
      <c r="W180" s="10" t="str">
        <f t="shared" si="140"/>
        <v>Capital Works</v>
      </c>
      <c r="X180" s="10" t="str">
        <f>VLOOKUP(U180,'[1]Account code lookup'!A:B,2,0)</f>
        <v>Contractors Capital Payments</v>
      </c>
      <c r="Z180" s="10" t="str">
        <f>"Capital Regen and Housing"</f>
        <v>Capital Regen and Housing</v>
      </c>
      <c r="AA180" s="10" t="str">
        <f>"Commercial Development Capital"</f>
        <v>Commercial Development Capital</v>
      </c>
      <c r="AB180" s="10" t="str">
        <f>"c2cdb"</f>
        <v>c2cdb</v>
      </c>
      <c r="AD180" s="10" t="str">
        <f>"ccdb02"</f>
        <v>ccdb02</v>
      </c>
      <c r="AE180" s="10" t="str">
        <f>"Regeneration &amp; Housing / Home Improvement Agency"</f>
        <v>Regeneration &amp; Housing / Home Improvement Agency</v>
      </c>
      <c r="AG180" s="10" t="str">
        <f>"40083/4100"</f>
        <v>40083/4100</v>
      </c>
      <c r="AI180" s="10" t="str">
        <f>"41cwrk"</f>
        <v>41cwrk</v>
      </c>
      <c r="AJ180" s="15" t="str">
        <f>""</f>
        <v/>
      </c>
      <c r="AK180" s="10" t="str">
        <f>"Capital"</f>
        <v>Capital</v>
      </c>
      <c r="AL180" s="10" t="str">
        <f>""</f>
        <v/>
      </c>
      <c r="AM180" s="10" t="str">
        <f>""</f>
        <v/>
      </c>
      <c r="AN180" s="10" t="str">
        <f>""</f>
        <v/>
      </c>
      <c r="AO180" s="10" t="str">
        <f>""</f>
        <v/>
      </c>
    </row>
    <row r="181" spans="1:41" s="10" customFormat="1" ht="409.6">
      <c r="A181" s="9"/>
      <c r="B181" s="9"/>
      <c r="C181" s="9"/>
      <c r="D181" s="10" t="str">
        <f>"34910"</f>
        <v>34910</v>
      </c>
      <c r="E181" s="11" t="str">
        <f>""</f>
        <v/>
      </c>
      <c r="F181" s="11" t="str">
        <f t="shared" si="135"/>
        <v>372418</v>
      </c>
      <c r="G181" s="11" t="str">
        <f t="shared" si="136"/>
        <v>2017toJAN</v>
      </c>
      <c r="H181" s="11" t="str">
        <f t="shared" si="137"/>
        <v>CRSP06B</v>
      </c>
      <c r="I181" s="11" t="str">
        <f t="shared" si="138"/>
        <v>34</v>
      </c>
      <c r="J181" s="11" t="str">
        <f t="shared" si="139"/>
        <v>Creditor</v>
      </c>
      <c r="K181" s="11" t="str">
        <f>"CS002360"</f>
        <v>CS002360</v>
      </c>
      <c r="L181" s="10" t="str">
        <f>"Freechoice Property Services Ltd"</f>
        <v>Freechoice Property Services Ltd</v>
      </c>
      <c r="M181" s="12" t="str">
        <f>"04/01/2017 00:00:00"</f>
        <v>04/01/2017 00:00:00</v>
      </c>
      <c r="N181" s="12">
        <v>42739</v>
      </c>
      <c r="O181" s="10" t="str">
        <f>"C007546"</f>
        <v>C007546</v>
      </c>
      <c r="P181" s="13">
        <v>1400</v>
      </c>
      <c r="Q181" s="11" t="str">
        <f>"1400.0000"</f>
        <v>1400.0000</v>
      </c>
      <c r="R181" s="10" t="str">
        <f>"C0004278"</f>
        <v>C0004278</v>
      </c>
      <c r="S181" s="14" t="str">
        <f>"5720.0000"</f>
        <v>5720.0000</v>
      </c>
      <c r="T181" s="10">
        <v>40083</v>
      </c>
      <c r="U181" s="10">
        <v>4100</v>
      </c>
      <c r="V181" s="10" t="str">
        <f t="shared" si="140"/>
        <v>Capital Works</v>
      </c>
      <c r="W181" s="10" t="str">
        <f t="shared" si="140"/>
        <v>Capital Works</v>
      </c>
      <c r="X181" s="10" t="str">
        <f>VLOOKUP(U181,'[1]Account code lookup'!A:B,2,0)</f>
        <v>Contractors Capital Payments</v>
      </c>
      <c r="Z181" s="10" t="str">
        <f>"Capital Regen and Housing"</f>
        <v>Capital Regen and Housing</v>
      </c>
      <c r="AA181" s="10" t="str">
        <f>"Commercial Development Capital"</f>
        <v>Commercial Development Capital</v>
      </c>
      <c r="AB181" s="10" t="str">
        <f>"c2cdb"</f>
        <v>c2cdb</v>
      </c>
      <c r="AD181" s="10" t="str">
        <f>"ccdb02"</f>
        <v>ccdb02</v>
      </c>
      <c r="AE181" s="10" t="str">
        <f>"Regeneration &amp; Housing / Home Improvement Agency"</f>
        <v>Regeneration &amp; Housing / Home Improvement Agency</v>
      </c>
      <c r="AG181" s="10" t="str">
        <f>"40083/4100"</f>
        <v>40083/4100</v>
      </c>
      <c r="AI181" s="10" t="str">
        <f>"41cwrk"</f>
        <v>41cwrk</v>
      </c>
      <c r="AJ181" s="15" t="str">
        <f>"14 Cromwell Rd, Ba"</f>
        <v>14 Cromwell Rd, Ba</v>
      </c>
      <c r="AK181" s="10" t="str">
        <f>"Capital"</f>
        <v>Capital</v>
      </c>
      <c r="AL181" s="10" t="str">
        <f>""</f>
        <v/>
      </c>
      <c r="AM181" s="10" t="str">
        <f>""</f>
        <v/>
      </c>
      <c r="AN181" s="10" t="str">
        <f>""</f>
        <v/>
      </c>
      <c r="AO181" s="10" t="str">
        <f>""</f>
        <v/>
      </c>
    </row>
    <row r="182" spans="1:41" s="10" customFormat="1" ht="409.6">
      <c r="A182" s="9"/>
      <c r="B182" s="9"/>
      <c r="C182" s="9"/>
      <c r="D182" s="10" t="str">
        <f>"34911"</f>
        <v>34911</v>
      </c>
      <c r="E182" s="11" t="str">
        <f>""</f>
        <v/>
      </c>
      <c r="F182" s="11" t="str">
        <f t="shared" si="135"/>
        <v>372418</v>
      </c>
      <c r="G182" s="11" t="str">
        <f t="shared" si="136"/>
        <v>2017toJAN</v>
      </c>
      <c r="H182" s="11" t="str">
        <f t="shared" si="137"/>
        <v>CRSP06B</v>
      </c>
      <c r="I182" s="11" t="str">
        <f t="shared" si="138"/>
        <v>34</v>
      </c>
      <c r="J182" s="11" t="str">
        <f t="shared" si="139"/>
        <v>Creditor</v>
      </c>
      <c r="K182" s="11" t="str">
        <f>"CS002360"</f>
        <v>CS002360</v>
      </c>
      <c r="L182" s="10" t="str">
        <f>"Freechoice Property Services Ltd"</f>
        <v>Freechoice Property Services Ltd</v>
      </c>
      <c r="M182" s="12" t="str">
        <f>"09/01/2017 00:00:00"</f>
        <v>09/01/2017 00:00:00</v>
      </c>
      <c r="N182" s="12">
        <v>42744</v>
      </c>
      <c r="O182" s="10" t="str">
        <f>"C007677"</f>
        <v>C007677</v>
      </c>
      <c r="P182" s="13">
        <v>1070</v>
      </c>
      <c r="Q182" s="11" t="str">
        <f>"1070.0000"</f>
        <v>1070.0000</v>
      </c>
      <c r="R182" s="10" t="str">
        <f>"C0004342"</f>
        <v>C0004342</v>
      </c>
      <c r="S182" s="14" t="str">
        <f>"4340.0000"</f>
        <v>4340.0000</v>
      </c>
      <c r="T182" s="10">
        <v>40083</v>
      </c>
      <c r="U182" s="10">
        <v>4100</v>
      </c>
      <c r="V182" s="10" t="str">
        <f t="shared" si="140"/>
        <v>Capital Works</v>
      </c>
      <c r="W182" s="10" t="str">
        <f t="shared" si="140"/>
        <v>Capital Works</v>
      </c>
      <c r="X182" s="10" t="str">
        <f>VLOOKUP(U182,'[1]Account code lookup'!A:B,2,0)</f>
        <v>Contractors Capital Payments</v>
      </c>
      <c r="Z182" s="10" t="str">
        <f>"Capital Regen and Housing"</f>
        <v>Capital Regen and Housing</v>
      </c>
      <c r="AA182" s="10" t="str">
        <f>"Commercial Development Capital"</f>
        <v>Commercial Development Capital</v>
      </c>
      <c r="AB182" s="10" t="str">
        <f>"c2cdb"</f>
        <v>c2cdb</v>
      </c>
      <c r="AD182" s="10" t="str">
        <f>"ccdb02"</f>
        <v>ccdb02</v>
      </c>
      <c r="AE182" s="10" t="str">
        <f>"Regeneration &amp; Housing / Home Improvement Agency"</f>
        <v>Regeneration &amp; Housing / Home Improvement Agency</v>
      </c>
      <c r="AG182" s="10" t="str">
        <f>"40083/4100"</f>
        <v>40083/4100</v>
      </c>
      <c r="AI182" s="10" t="str">
        <f>"41cwrk"</f>
        <v>41cwrk</v>
      </c>
      <c r="AJ182" s="15" t="str">
        <f>""</f>
        <v/>
      </c>
      <c r="AK182" s="10" t="str">
        <f>"Capital"</f>
        <v>Capital</v>
      </c>
      <c r="AL182" s="10" t="str">
        <f>""</f>
        <v/>
      </c>
      <c r="AM182" s="10" t="str">
        <f>""</f>
        <v/>
      </c>
      <c r="AN182" s="10" t="str">
        <f>""</f>
        <v/>
      </c>
      <c r="AO182" s="10" t="str">
        <f>""</f>
        <v/>
      </c>
    </row>
    <row r="183" spans="1:41" s="10" customFormat="1" ht="409.6">
      <c r="A183" s="9"/>
      <c r="B183" s="9"/>
      <c r="C183" s="9"/>
      <c r="D183" s="10" t="str">
        <f>"34912"</f>
        <v>34912</v>
      </c>
      <c r="E183" s="11" t="str">
        <f>""</f>
        <v/>
      </c>
      <c r="F183" s="11" t="str">
        <f t="shared" si="135"/>
        <v>372418</v>
      </c>
      <c r="G183" s="11" t="str">
        <f t="shared" si="136"/>
        <v>2017toJAN</v>
      </c>
      <c r="H183" s="11" t="str">
        <f t="shared" si="137"/>
        <v>CRSP06B</v>
      </c>
      <c r="I183" s="11" t="str">
        <f t="shared" si="138"/>
        <v>34</v>
      </c>
      <c r="J183" s="11" t="str">
        <f t="shared" si="139"/>
        <v>Creditor</v>
      </c>
      <c r="K183" s="11" t="str">
        <f>"CS002360"</f>
        <v>CS002360</v>
      </c>
      <c r="L183" s="10" t="str">
        <f>"Freechoice Property Services Ltd"</f>
        <v>Freechoice Property Services Ltd</v>
      </c>
      <c r="M183" s="12" t="str">
        <f>"09/01/2017 00:00:00"</f>
        <v>09/01/2017 00:00:00</v>
      </c>
      <c r="N183" s="12">
        <v>42744</v>
      </c>
      <c r="O183" s="10" t="str">
        <f>"C007677"</f>
        <v>C007677</v>
      </c>
      <c r="P183" s="13">
        <v>150</v>
      </c>
      <c r="Q183" s="11" t="str">
        <f>"150.0000"</f>
        <v>150.0000</v>
      </c>
      <c r="R183" s="10" t="str">
        <f>"C0004342"</f>
        <v>C0004342</v>
      </c>
      <c r="S183" s="14" t="str">
        <f>"4340.0000"</f>
        <v>4340.0000</v>
      </c>
      <c r="T183" s="10">
        <v>40083</v>
      </c>
      <c r="U183" s="10">
        <v>4100</v>
      </c>
      <c r="V183" s="10" t="str">
        <f t="shared" si="140"/>
        <v>Capital Works</v>
      </c>
      <c r="W183" s="10" t="str">
        <f t="shared" si="140"/>
        <v>Capital Works</v>
      </c>
      <c r="X183" s="10" t="str">
        <f>VLOOKUP(U183,'[1]Account code lookup'!A:B,2,0)</f>
        <v>Contractors Capital Payments</v>
      </c>
      <c r="Z183" s="10" t="str">
        <f>"Capital Regen and Housing"</f>
        <v>Capital Regen and Housing</v>
      </c>
      <c r="AA183" s="10" t="str">
        <f>"Commercial Development Capital"</f>
        <v>Commercial Development Capital</v>
      </c>
      <c r="AB183" s="10" t="str">
        <f>"c2cdb"</f>
        <v>c2cdb</v>
      </c>
      <c r="AD183" s="10" t="str">
        <f>"ccdb02"</f>
        <v>ccdb02</v>
      </c>
      <c r="AE183" s="10" t="str">
        <f>"Regeneration &amp; Housing / Home Improvement Agency"</f>
        <v>Regeneration &amp; Housing / Home Improvement Agency</v>
      </c>
      <c r="AG183" s="10" t="str">
        <f>"40083/4100"</f>
        <v>40083/4100</v>
      </c>
      <c r="AI183" s="10" t="str">
        <f>"41cwrk"</f>
        <v>41cwrk</v>
      </c>
      <c r="AJ183" s="15" t="str">
        <f>"34 CROMWELL Rd, Ban"</f>
        <v>34 CROMWELL Rd, Ban</v>
      </c>
      <c r="AK183" s="10" t="str">
        <f>"Capital"</f>
        <v>Capital</v>
      </c>
      <c r="AL183" s="10" t="str">
        <f>""</f>
        <v/>
      </c>
      <c r="AM183" s="10" t="str">
        <f>""</f>
        <v/>
      </c>
      <c r="AN183" s="10" t="str">
        <f>""</f>
        <v/>
      </c>
      <c r="AO183" s="10" t="str">
        <f>""</f>
        <v/>
      </c>
    </row>
    <row r="184" spans="1:41" s="10" customFormat="1" ht="409.6">
      <c r="A184" s="9"/>
      <c r="B184" s="9"/>
      <c r="C184" s="9"/>
      <c r="D184" s="10" t="str">
        <f>"27741"</f>
        <v>27741</v>
      </c>
      <c r="E184" s="11" t="str">
        <f>""</f>
        <v/>
      </c>
      <c r="F184" s="11" t="str">
        <f t="shared" si="135"/>
        <v>372418</v>
      </c>
      <c r="G184" s="11" t="str">
        <f t="shared" si="136"/>
        <v>2017toJAN</v>
      </c>
      <c r="H184" s="11" t="str">
        <f t="shared" si="137"/>
        <v>CRSP06B</v>
      </c>
      <c r="I184" s="11" t="str">
        <f t="shared" si="138"/>
        <v>34</v>
      </c>
      <c r="J184" s="11" t="str">
        <f t="shared" si="139"/>
        <v>Creditor</v>
      </c>
      <c r="K184" s="11" t="str">
        <f>"CS002360"</f>
        <v>CS002360</v>
      </c>
      <c r="L184" s="10" t="str">
        <f>"Freechoice Property Services Ltd"</f>
        <v>Freechoice Property Services Ltd</v>
      </c>
      <c r="M184" s="12" t="str">
        <f>"09/01/2017 00:00:00"</f>
        <v>09/01/2017 00:00:00</v>
      </c>
      <c r="N184" s="12">
        <v>42744</v>
      </c>
      <c r="O184" s="10" t="str">
        <f>"C007680"</f>
        <v>C007680</v>
      </c>
      <c r="P184" s="13">
        <v>3150</v>
      </c>
      <c r="Q184" s="11" t="str">
        <f>"3150.0000"</f>
        <v>3150.0000</v>
      </c>
      <c r="R184" s="10" t="str">
        <f>"C0004342"</f>
        <v>C0004342</v>
      </c>
      <c r="S184" s="14" t="str">
        <f>"4340.0000"</f>
        <v>4340.0000</v>
      </c>
      <c r="T184" s="10">
        <v>40084</v>
      </c>
      <c r="U184" s="10">
        <v>4100</v>
      </c>
      <c r="V184" s="10" t="str">
        <f t="shared" si="140"/>
        <v>Capital Works</v>
      </c>
      <c r="W184" s="10" t="str">
        <f t="shared" si="140"/>
        <v>Capital Works</v>
      </c>
      <c r="X184" s="10" t="str">
        <f>VLOOKUP(U184,'[1]Account code lookup'!A:B,2,0)</f>
        <v>Contractors Capital Payments</v>
      </c>
      <c r="Z184" s="10" t="str">
        <f>"Capital Regen and Housing"</f>
        <v>Capital Regen and Housing</v>
      </c>
      <c r="AA184" s="10" t="str">
        <f>"Commercial Development Capital"</f>
        <v>Commercial Development Capital</v>
      </c>
      <c r="AB184" s="10" t="str">
        <f>"c2cdb"</f>
        <v>c2cdb</v>
      </c>
      <c r="AD184" s="10" t="str">
        <f>"ccdb02"</f>
        <v>ccdb02</v>
      </c>
      <c r="AE184" s="10" t="str">
        <f>"Regeneration &amp; Housing / Home Improvement Agency"</f>
        <v>Regeneration &amp; Housing / Home Improvement Agency</v>
      </c>
      <c r="AG184" s="10" t="str">
        <f>"40084/4100"</f>
        <v>40084/4100</v>
      </c>
      <c r="AI184" s="10" t="str">
        <f>"41cwrk"</f>
        <v>41cwrk</v>
      </c>
      <c r="AJ184" s="15" t="str">
        <f>"Lift Servicing"</f>
        <v>Lift Servicing</v>
      </c>
      <c r="AK184" s="10" t="str">
        <f>"Capital"</f>
        <v>Capital</v>
      </c>
      <c r="AL184" s="10" t="str">
        <f>""</f>
        <v/>
      </c>
      <c r="AM184" s="10" t="str">
        <f>""</f>
        <v/>
      </c>
      <c r="AN184" s="10" t="str">
        <f>""</f>
        <v/>
      </c>
      <c r="AO184" s="10" t="str">
        <f>""</f>
        <v/>
      </c>
    </row>
    <row r="185" spans="1:41" s="10" customFormat="1" ht="409.6">
      <c r="A185" s="9"/>
      <c r="B185" s="9"/>
      <c r="C185" s="9"/>
      <c r="D185" s="10" t="str">
        <f>"27780"</f>
        <v>27780</v>
      </c>
      <c r="E185" s="11" t="str">
        <f>""</f>
        <v/>
      </c>
      <c r="F185" s="11" t="str">
        <f t="shared" si="135"/>
        <v>372418</v>
      </c>
      <c r="G185" s="11" t="str">
        <f t="shared" si="136"/>
        <v>2017toJAN</v>
      </c>
      <c r="H185" s="11" t="str">
        <f t="shared" si="137"/>
        <v>CRSP06B</v>
      </c>
      <c r="I185" s="11" t="str">
        <f t="shared" si="138"/>
        <v>34</v>
      </c>
      <c r="J185" s="11" t="str">
        <f t="shared" si="139"/>
        <v>Creditor</v>
      </c>
      <c r="K185" s="11" t="str">
        <f>"CS000281"</f>
        <v>CS000281</v>
      </c>
      <c r="L185" s="10" t="str">
        <f>"Freeths Llp"</f>
        <v>Freeths Llp</v>
      </c>
      <c r="M185" s="12" t="str">
        <f>"10/01/2017 00:00:00"</f>
        <v>10/01/2017 00:00:00</v>
      </c>
      <c r="N185" s="12">
        <v>42745</v>
      </c>
      <c r="O185" s="10" t="str">
        <f>"C007233"</f>
        <v>C007233</v>
      </c>
      <c r="P185" s="13">
        <v>7486.6</v>
      </c>
      <c r="Q185" s="11" t="str">
        <f>"7486.6000"</f>
        <v>7486.6000</v>
      </c>
      <c r="R185" s="10" t="str">
        <f>"059205"</f>
        <v>059205</v>
      </c>
      <c r="S185" s="14" t="str">
        <f>"8893.2000"</f>
        <v>8893.2000</v>
      </c>
      <c r="T185" s="10">
        <v>31014</v>
      </c>
      <c r="U185" s="10">
        <v>1767</v>
      </c>
      <c r="V185" s="10" t="str">
        <f>"Professional Fees"</f>
        <v>Professional Fees</v>
      </c>
      <c r="W185" s="10" t="str">
        <f>"Third Party Payments"</f>
        <v>Third Party Payments</v>
      </c>
      <c r="X185" s="10" t="str">
        <f>VLOOKUP(U185,'[1]Account code lookup'!A:B,2,0)</f>
        <v>Professional Fees</v>
      </c>
      <c r="Z185" s="10" t="str">
        <f>"Regeneration and Housing"</f>
        <v>Regeneration and Housing</v>
      </c>
      <c r="AA185" s="10" t="str">
        <f>"Commercial Development"</f>
        <v>Commercial Development</v>
      </c>
      <c r="AB185" s="10" t="str">
        <f>"2cdb"</f>
        <v>2cdb</v>
      </c>
      <c r="AD185" s="10" t="str">
        <f>"cdb02"</f>
        <v>cdb02</v>
      </c>
      <c r="AE185" s="10" t="str">
        <f>"Finance &amp; Procurement / Head of Finance &amp; Procurement"</f>
        <v>Finance &amp; Procurement / Head of Finance &amp; Procurement</v>
      </c>
      <c r="AG185" s="10" t="str">
        <f>"31014/1767"</f>
        <v>31014/1767</v>
      </c>
      <c r="AI185" s="10" t="str">
        <f>"17tpp"</f>
        <v>17tpp</v>
      </c>
      <c r="AJ185" s="15" t="str">
        <f>"Professional Fees in connection with Castle Quay Banbury including travel expenses."</f>
        <v>Professional Fees in connection with Castle Quay Banbury including travel expenses.</v>
      </c>
      <c r="AK185" s="10" t="str">
        <f t="shared" ref="AK185:AK191" si="141">"Revenue"</f>
        <v>Revenue</v>
      </c>
      <c r="AL185" s="10" t="str">
        <f>""</f>
        <v/>
      </c>
      <c r="AM185" s="10" t="str">
        <f>""</f>
        <v/>
      </c>
      <c r="AN185" s="10" t="str">
        <f>""</f>
        <v/>
      </c>
      <c r="AO185" s="10" t="str">
        <f>""</f>
        <v/>
      </c>
    </row>
    <row r="186" spans="1:41" s="10" customFormat="1" ht="409.6">
      <c r="A186" s="9"/>
      <c r="B186" s="9"/>
      <c r="C186" s="9"/>
      <c r="D186" s="10" t="str">
        <f>"28537"</f>
        <v>28537</v>
      </c>
      <c r="E186" s="11" t="str">
        <f>""</f>
        <v/>
      </c>
      <c r="F186" s="11" t="str">
        <f t="shared" si="135"/>
        <v>372418</v>
      </c>
      <c r="G186" s="11" t="str">
        <f t="shared" si="136"/>
        <v>2017toJAN</v>
      </c>
      <c r="H186" s="11" t="str">
        <f t="shared" si="137"/>
        <v>CRSP06B</v>
      </c>
      <c r="I186" s="11" t="str">
        <f t="shared" si="138"/>
        <v>34</v>
      </c>
      <c r="J186" s="11" t="str">
        <f t="shared" si="139"/>
        <v>Creditor</v>
      </c>
      <c r="K186" s="11" t="str">
        <f>"CS000283"</f>
        <v>CS000283</v>
      </c>
      <c r="L186" s="10" t="str">
        <f>"Frenco Service Replacements Ltd"</f>
        <v>Frenco Service Replacements Ltd</v>
      </c>
      <c r="M186" s="12" t="str">
        <f>"04/01/2017 00:00:00"</f>
        <v>04/01/2017 00:00:00</v>
      </c>
      <c r="N186" s="12">
        <v>42739</v>
      </c>
      <c r="O186" s="10" t="str">
        <f>"C007543"</f>
        <v>C007543</v>
      </c>
      <c r="P186" s="13">
        <v>638</v>
      </c>
      <c r="Q186" s="11" t="str">
        <f>"638.0000"</f>
        <v>638.0000</v>
      </c>
      <c r="R186" s="10" t="str">
        <f>"C0004262"</f>
        <v>C0004262</v>
      </c>
      <c r="S186" s="14" t="str">
        <f>"779.1500"</f>
        <v>779.1500</v>
      </c>
      <c r="T186" s="10">
        <v>21706</v>
      </c>
      <c r="U186" s="10">
        <v>1300</v>
      </c>
      <c r="V186" s="10" t="str">
        <f>"Direct transport costs"</f>
        <v>Direct transport costs</v>
      </c>
      <c r="W186" s="10" t="str">
        <f>"Transport Related Expenditure"</f>
        <v>Transport Related Expenditure</v>
      </c>
      <c r="X186" s="10" t="str">
        <f>VLOOKUP(U186,'[1]Account code lookup'!A:B,2,0)</f>
        <v>Vehicle Repair &amp; Maintenance</v>
      </c>
      <c r="Z186" s="10" t="str">
        <f>"Environmental Services"</f>
        <v>Environmental Services</v>
      </c>
      <c r="AA186" s="10" t="str">
        <f t="shared" ref="AA186:AA191" si="142">"Operations and Delivery"</f>
        <v>Operations and Delivery</v>
      </c>
      <c r="AB186" s="10" t="str">
        <f t="shared" ref="AB186:AB191" si="143">"5oad"</f>
        <v>5oad</v>
      </c>
      <c r="AD186" s="10" t="str">
        <f>"oad02"</f>
        <v>oad02</v>
      </c>
      <c r="AE186" s="10" t="str">
        <f t="shared" ref="AE186:AE191" si="144">"Finance &amp; Procurement / Head of Finance &amp; Procurement"</f>
        <v>Finance &amp; Procurement / Head of Finance &amp; Procurement</v>
      </c>
      <c r="AG186" s="10" t="str">
        <f>"21706/1300"</f>
        <v>21706/1300</v>
      </c>
      <c r="AI186" s="10" t="str">
        <f>"13trans"</f>
        <v>13trans</v>
      </c>
      <c r="AJ186" s="15" t="str">
        <f>"Annual order for 2016-2017"</f>
        <v>Annual order for 2016-2017</v>
      </c>
      <c r="AK186" s="10" t="str">
        <f t="shared" si="141"/>
        <v>Revenue</v>
      </c>
      <c r="AL186" s="10" t="str">
        <f>""</f>
        <v/>
      </c>
      <c r="AM186" s="10" t="str">
        <f>""</f>
        <v/>
      </c>
      <c r="AN186" s="10" t="str">
        <f>""</f>
        <v/>
      </c>
      <c r="AO186" s="10" t="str">
        <f>""</f>
        <v/>
      </c>
    </row>
    <row r="187" spans="1:41" s="10" customFormat="1" ht="409.6">
      <c r="A187" s="9"/>
      <c r="B187" s="9"/>
      <c r="C187" s="9"/>
      <c r="D187" s="10" t="str">
        <f>"28538"</f>
        <v>28538</v>
      </c>
      <c r="E187" s="11" t="str">
        <f>""</f>
        <v/>
      </c>
      <c r="F187" s="11" t="str">
        <f t="shared" si="135"/>
        <v>372418</v>
      </c>
      <c r="G187" s="11" t="str">
        <f t="shared" si="136"/>
        <v>2017toJAN</v>
      </c>
      <c r="H187" s="11" t="str">
        <f t="shared" si="137"/>
        <v>CRSP06B</v>
      </c>
      <c r="I187" s="11" t="str">
        <f t="shared" si="138"/>
        <v>34</v>
      </c>
      <c r="J187" s="11" t="str">
        <f t="shared" si="139"/>
        <v>Creditor</v>
      </c>
      <c r="K187" s="11" t="str">
        <f>"CS000283"</f>
        <v>CS000283</v>
      </c>
      <c r="L187" s="10" t="str">
        <f>"Frenco Service Replacements Ltd"</f>
        <v>Frenco Service Replacements Ltd</v>
      </c>
      <c r="M187" s="12" t="str">
        <f>"04/01/2017 00:00:00"</f>
        <v>04/01/2017 00:00:00</v>
      </c>
      <c r="N187" s="12">
        <v>42739</v>
      </c>
      <c r="O187" s="10" t="str">
        <f>"C007543"</f>
        <v>C007543</v>
      </c>
      <c r="P187" s="13">
        <v>11.29</v>
      </c>
      <c r="Q187" s="11" t="str">
        <f>"11.2900"</f>
        <v>11.2900</v>
      </c>
      <c r="R187" s="10" t="str">
        <f>"C0004262"</f>
        <v>C0004262</v>
      </c>
      <c r="S187" s="14" t="str">
        <f>"779.1500"</f>
        <v>779.1500</v>
      </c>
      <c r="T187" s="10">
        <v>21706</v>
      </c>
      <c r="U187" s="10">
        <v>1400</v>
      </c>
      <c r="V187" s="10" t="str">
        <f>"Equipment, furniture and mats"</f>
        <v>Equipment, furniture and mats</v>
      </c>
      <c r="W187" s="10" t="str">
        <f>"Supplies and Services"</f>
        <v>Supplies and Services</v>
      </c>
      <c r="X187" s="10" t="str">
        <f>VLOOKUP(U187,'[1]Account code lookup'!A:B,2,0)</f>
        <v>Equipment General</v>
      </c>
      <c r="Z187" s="10" t="str">
        <f>"Environmental Services"</f>
        <v>Environmental Services</v>
      </c>
      <c r="AA187" s="10" t="str">
        <f t="shared" si="142"/>
        <v>Operations and Delivery</v>
      </c>
      <c r="AB187" s="10" t="str">
        <f t="shared" si="143"/>
        <v>5oad</v>
      </c>
      <c r="AD187" s="10" t="str">
        <f>"oad02"</f>
        <v>oad02</v>
      </c>
      <c r="AE187" s="10" t="str">
        <f t="shared" si="144"/>
        <v>Finance &amp; Procurement / Head of Finance &amp; Procurement</v>
      </c>
      <c r="AG187" s="10" t="str">
        <f>"21706/1400"</f>
        <v>21706/1400</v>
      </c>
      <c r="AI187" s="10" t="str">
        <f>"14suse"</f>
        <v>14suse</v>
      </c>
      <c r="AJ187" s="15" t="str">
        <f>"Annual order for 2016-2017"</f>
        <v>Annual order for 2016-2017</v>
      </c>
      <c r="AK187" s="10" t="str">
        <f t="shared" si="141"/>
        <v>Revenue</v>
      </c>
      <c r="AL187" s="10" t="str">
        <f>""</f>
        <v/>
      </c>
      <c r="AM187" s="10" t="str">
        <f>""</f>
        <v/>
      </c>
      <c r="AN187" s="10" t="str">
        <f>""</f>
        <v/>
      </c>
      <c r="AO187" s="10" t="str">
        <f>""</f>
        <v/>
      </c>
    </row>
    <row r="188" spans="1:41" s="10" customFormat="1" ht="409.6">
      <c r="A188" s="9"/>
      <c r="B188" s="9"/>
      <c r="C188" s="9"/>
      <c r="D188" s="10" t="str">
        <f>"30681"</f>
        <v>30681</v>
      </c>
      <c r="E188" s="11" t="str">
        <f>""</f>
        <v/>
      </c>
      <c r="F188" s="11" t="str">
        <f t="shared" si="135"/>
        <v>372418</v>
      </c>
      <c r="G188" s="11" t="str">
        <f t="shared" si="136"/>
        <v>2017toJAN</v>
      </c>
      <c r="H188" s="11" t="str">
        <f t="shared" si="137"/>
        <v>CRSP06B</v>
      </c>
      <c r="I188" s="11" t="str">
        <f t="shared" si="138"/>
        <v>34</v>
      </c>
      <c r="J188" s="11" t="str">
        <f t="shared" si="139"/>
        <v>Creditor</v>
      </c>
      <c r="K188" s="11" t="str">
        <f>"CS000283"</f>
        <v>CS000283</v>
      </c>
      <c r="L188" s="10" t="str">
        <f>"Frenco Service Replacements Ltd"</f>
        <v>Frenco Service Replacements Ltd</v>
      </c>
      <c r="M188" s="12" t="str">
        <f>"18/01/2017 00:00:00"</f>
        <v>18/01/2017 00:00:00</v>
      </c>
      <c r="N188" s="12">
        <v>42753</v>
      </c>
      <c r="O188" s="10" t="str">
        <f>"C007934"</f>
        <v>C007934</v>
      </c>
      <c r="P188" s="13">
        <v>590.70000000000005</v>
      </c>
      <c r="Q188" s="11" t="str">
        <f>"590.7000"</f>
        <v>590.7000</v>
      </c>
      <c r="R188" s="10" t="str">
        <f>"C0004458"</f>
        <v>C0004458</v>
      </c>
      <c r="S188" s="14" t="str">
        <f>"1709.6000"</f>
        <v>1709.6000</v>
      </c>
      <c r="T188" s="10">
        <v>21706</v>
      </c>
      <c r="U188" s="10">
        <v>1300</v>
      </c>
      <c r="V188" s="10" t="str">
        <f>"Direct transport costs"</f>
        <v>Direct transport costs</v>
      </c>
      <c r="W188" s="10" t="str">
        <f>"Transport Related Expenditure"</f>
        <v>Transport Related Expenditure</v>
      </c>
      <c r="X188" s="10" t="str">
        <f>VLOOKUP(U188,'[1]Account code lookup'!A:B,2,0)</f>
        <v>Vehicle Repair &amp; Maintenance</v>
      </c>
      <c r="Z188" s="10" t="str">
        <f>"Environmental Services"</f>
        <v>Environmental Services</v>
      </c>
      <c r="AA188" s="10" t="str">
        <f t="shared" si="142"/>
        <v>Operations and Delivery</v>
      </c>
      <c r="AB188" s="10" t="str">
        <f t="shared" si="143"/>
        <v>5oad</v>
      </c>
      <c r="AD188" s="10" t="str">
        <f>"oad02"</f>
        <v>oad02</v>
      </c>
      <c r="AE188" s="10" t="str">
        <f t="shared" si="144"/>
        <v>Finance &amp; Procurement / Head of Finance &amp; Procurement</v>
      </c>
      <c r="AG188" s="10" t="str">
        <f>"21706/1300"</f>
        <v>21706/1300</v>
      </c>
      <c r="AI188" s="10" t="str">
        <f>"13trans"</f>
        <v>13trans</v>
      </c>
      <c r="AJ188" s="15" t="str">
        <f>"Annual order for 2016-2017"</f>
        <v>Annual order for 2016-2017</v>
      </c>
      <c r="AK188" s="10" t="str">
        <f t="shared" si="141"/>
        <v>Revenue</v>
      </c>
      <c r="AL188" s="10" t="str">
        <f>""</f>
        <v/>
      </c>
      <c r="AM188" s="10" t="str">
        <f>""</f>
        <v/>
      </c>
      <c r="AN188" s="10" t="str">
        <f>""</f>
        <v/>
      </c>
      <c r="AO188" s="10" t="str">
        <f>""</f>
        <v/>
      </c>
    </row>
    <row r="189" spans="1:41" s="10" customFormat="1" ht="409.6">
      <c r="A189" s="9"/>
      <c r="B189" s="9"/>
      <c r="C189" s="9"/>
      <c r="D189" s="10" t="str">
        <f>"30682"</f>
        <v>30682</v>
      </c>
      <c r="E189" s="11" t="str">
        <f>""</f>
        <v/>
      </c>
      <c r="F189" s="11" t="str">
        <f t="shared" si="135"/>
        <v>372418</v>
      </c>
      <c r="G189" s="11" t="str">
        <f t="shared" si="136"/>
        <v>2017toJAN</v>
      </c>
      <c r="H189" s="11" t="str">
        <f t="shared" si="137"/>
        <v>CRSP06B</v>
      </c>
      <c r="I189" s="11" t="str">
        <f t="shared" si="138"/>
        <v>34</v>
      </c>
      <c r="J189" s="11" t="str">
        <f t="shared" si="139"/>
        <v>Creditor</v>
      </c>
      <c r="K189" s="11" t="str">
        <f>"CS000283"</f>
        <v>CS000283</v>
      </c>
      <c r="L189" s="10" t="str">
        <f>"Frenco Service Replacements Ltd"</f>
        <v>Frenco Service Replacements Ltd</v>
      </c>
      <c r="M189" s="12" t="str">
        <f>"18/01/2017 00:00:00"</f>
        <v>18/01/2017 00:00:00</v>
      </c>
      <c r="N189" s="12">
        <v>42753</v>
      </c>
      <c r="O189" s="10" t="str">
        <f>"C007955"</f>
        <v>C007955</v>
      </c>
      <c r="P189" s="13">
        <v>833.97</v>
      </c>
      <c r="Q189" s="11" t="str">
        <f>"833.9700"</f>
        <v>833.9700</v>
      </c>
      <c r="R189" s="10" t="str">
        <f>"C0004458"</f>
        <v>C0004458</v>
      </c>
      <c r="S189" s="14" t="str">
        <f>"1709.6000"</f>
        <v>1709.6000</v>
      </c>
      <c r="T189" s="10">
        <v>21706</v>
      </c>
      <c r="U189" s="10">
        <v>1300</v>
      </c>
      <c r="V189" s="10" t="str">
        <f>"Direct transport costs"</f>
        <v>Direct transport costs</v>
      </c>
      <c r="W189" s="10" t="str">
        <f>"Transport Related Expenditure"</f>
        <v>Transport Related Expenditure</v>
      </c>
      <c r="X189" s="10" t="str">
        <f>VLOOKUP(U189,'[1]Account code lookup'!A:B,2,0)</f>
        <v>Vehicle Repair &amp; Maintenance</v>
      </c>
      <c r="Z189" s="10" t="str">
        <f>"Environmental Services"</f>
        <v>Environmental Services</v>
      </c>
      <c r="AA189" s="10" t="str">
        <f t="shared" si="142"/>
        <v>Operations and Delivery</v>
      </c>
      <c r="AB189" s="10" t="str">
        <f t="shared" si="143"/>
        <v>5oad</v>
      </c>
      <c r="AD189" s="10" t="str">
        <f>"oad02"</f>
        <v>oad02</v>
      </c>
      <c r="AE189" s="10" t="str">
        <f t="shared" si="144"/>
        <v>Finance &amp; Procurement / Head of Finance &amp; Procurement</v>
      </c>
      <c r="AG189" s="10" t="str">
        <f>"21706/1300"</f>
        <v>21706/1300</v>
      </c>
      <c r="AI189" s="10" t="str">
        <f>"13trans"</f>
        <v>13trans</v>
      </c>
      <c r="AJ189" s="15" t="str">
        <f>"Annual order for 2016-2017"</f>
        <v>Annual order for 2016-2017</v>
      </c>
      <c r="AK189" s="10" t="str">
        <f t="shared" si="141"/>
        <v>Revenue</v>
      </c>
      <c r="AL189" s="10" t="str">
        <f>""</f>
        <v/>
      </c>
      <c r="AM189" s="10" t="str">
        <f>""</f>
        <v/>
      </c>
      <c r="AN189" s="10" t="str">
        <f>""</f>
        <v/>
      </c>
      <c r="AO189" s="10" t="str">
        <f>""</f>
        <v/>
      </c>
    </row>
    <row r="190" spans="1:41" s="10" customFormat="1" ht="409.6">
      <c r="A190" s="9"/>
      <c r="B190" s="9"/>
      <c r="C190" s="9"/>
      <c r="D190" s="10" t="str">
        <f>"30860"</f>
        <v>30860</v>
      </c>
      <c r="E190" s="11" t="str">
        <f>""</f>
        <v/>
      </c>
      <c r="F190" s="11" t="str">
        <f t="shared" si="135"/>
        <v>372418</v>
      </c>
      <c r="G190" s="11" t="str">
        <f t="shared" si="136"/>
        <v>2017toJAN</v>
      </c>
      <c r="H190" s="11" t="str">
        <f t="shared" si="137"/>
        <v>CRSP06B</v>
      </c>
      <c r="I190" s="11" t="str">
        <f t="shared" si="138"/>
        <v>34</v>
      </c>
      <c r="J190" s="11" t="str">
        <f t="shared" si="139"/>
        <v>Creditor</v>
      </c>
      <c r="K190" s="11" t="str">
        <f>"CS002954"</f>
        <v>CS002954</v>
      </c>
      <c r="L190" s="10" t="str">
        <f>"Full Circle"</f>
        <v>Full Circle</v>
      </c>
      <c r="M190" s="12" t="str">
        <f>"10/01/2017 00:00:00"</f>
        <v>10/01/2017 00:00:00</v>
      </c>
      <c r="N190" s="12">
        <v>42745</v>
      </c>
      <c r="O190" s="10" t="str">
        <f>"C007769"</f>
        <v>C007769</v>
      </c>
      <c r="P190" s="13">
        <v>5000</v>
      </c>
      <c r="Q190" s="11" t="str">
        <f>"5000.0000"</f>
        <v>5000.0000</v>
      </c>
      <c r="R190" s="10" t="str">
        <f>"059225"</f>
        <v>059225</v>
      </c>
      <c r="S190" s="14" t="str">
        <f>"8750.0000"</f>
        <v>8750.0000</v>
      </c>
      <c r="T190" s="10">
        <v>21759</v>
      </c>
      <c r="U190" s="10">
        <v>1580</v>
      </c>
      <c r="V190" s="10" t="str">
        <f>"Grants and subscriptions"</f>
        <v>Grants and subscriptions</v>
      </c>
      <c r="W190" s="10" t="str">
        <f>"Supplies and Services"</f>
        <v>Supplies and Services</v>
      </c>
      <c r="X190" s="10" t="str">
        <f>VLOOKUP(U190,'[1]Account code lookup'!A:B,2,0)</f>
        <v>Grants</v>
      </c>
      <c r="Z190" s="10" t="str">
        <f>"Dir of Operations and Delivery"</f>
        <v>Dir of Operations and Delivery</v>
      </c>
      <c r="AA190" s="10" t="str">
        <f t="shared" si="142"/>
        <v>Operations and Delivery</v>
      </c>
      <c r="AB190" s="10" t="str">
        <f t="shared" si="143"/>
        <v>5oad</v>
      </c>
      <c r="AD190" s="10" t="str">
        <f>"oad03"</f>
        <v>oad03</v>
      </c>
      <c r="AE190" s="10" t="str">
        <f t="shared" si="144"/>
        <v>Finance &amp; Procurement / Head of Finance &amp; Procurement</v>
      </c>
      <c r="AG190" s="10" t="str">
        <f>"21759/1580"</f>
        <v>21759/1580</v>
      </c>
      <c r="AI190" s="10" t="str">
        <f>"14suse"</f>
        <v>14suse</v>
      </c>
      <c r="AJ190" s="15" t="str">
        <f>"Inv No 902_x000D_
Brighter Futures Project"</f>
        <v>Inv No 902_x000D_
Brighter Futures Project</v>
      </c>
      <c r="AK190" s="10" t="str">
        <f t="shared" si="141"/>
        <v>Revenue</v>
      </c>
      <c r="AL190" s="10" t="str">
        <f>""</f>
        <v/>
      </c>
      <c r="AM190" s="10" t="str">
        <f>""</f>
        <v/>
      </c>
      <c r="AN190" s="10" t="str">
        <f>""</f>
        <v/>
      </c>
      <c r="AO190" s="10" t="str">
        <f>""</f>
        <v/>
      </c>
    </row>
    <row r="191" spans="1:41" s="10" customFormat="1" ht="409.6">
      <c r="A191" s="9"/>
      <c r="B191" s="9"/>
      <c r="C191" s="9"/>
      <c r="D191" s="10" t="str">
        <f>"30968"</f>
        <v>30968</v>
      </c>
      <c r="E191" s="11" t="str">
        <f>""</f>
        <v/>
      </c>
      <c r="F191" s="11" t="str">
        <f t="shared" si="135"/>
        <v>372418</v>
      </c>
      <c r="G191" s="11" t="str">
        <f t="shared" si="136"/>
        <v>2017toJAN</v>
      </c>
      <c r="H191" s="11" t="str">
        <f t="shared" si="137"/>
        <v>CRSP06B</v>
      </c>
      <c r="I191" s="11" t="str">
        <f t="shared" si="138"/>
        <v>34</v>
      </c>
      <c r="J191" s="11" t="str">
        <f t="shared" si="139"/>
        <v>Creditor</v>
      </c>
      <c r="K191" s="11" t="str">
        <f>"CS002954"</f>
        <v>CS002954</v>
      </c>
      <c r="L191" s="10" t="str">
        <f>"Full Circle"</f>
        <v>Full Circle</v>
      </c>
      <c r="M191" s="12" t="str">
        <f>"10/01/2017 00:00:00"</f>
        <v>10/01/2017 00:00:00</v>
      </c>
      <c r="N191" s="12">
        <v>42745</v>
      </c>
      <c r="O191" s="10" t="str">
        <f>"C007769"</f>
        <v>C007769</v>
      </c>
      <c r="P191" s="13">
        <v>3750</v>
      </c>
      <c r="Q191" s="11" t="str">
        <f>"3750.0000"</f>
        <v>3750.0000</v>
      </c>
      <c r="R191" s="10" t="str">
        <f>"059225"</f>
        <v>059225</v>
      </c>
      <c r="S191" s="14" t="str">
        <f>"8750.0000"</f>
        <v>8750.0000</v>
      </c>
      <c r="T191" s="10">
        <v>25300</v>
      </c>
      <c r="U191" s="10">
        <v>1446</v>
      </c>
      <c r="V191" s="10" t="str">
        <f>"Printing Stationery &amp; Off Supp"</f>
        <v>Printing Stationery &amp; Off Supp</v>
      </c>
      <c r="W191" s="10" t="str">
        <f>"Supplies and Services"</f>
        <v>Supplies and Services</v>
      </c>
      <c r="X191" s="10" t="str">
        <f>VLOOKUP(U191,'[1]Account code lookup'!A:B,2,0)</f>
        <v>External Print &amp; Design Work</v>
      </c>
      <c r="Z191" s="10" t="str">
        <f>"Community Services"</f>
        <v>Community Services</v>
      </c>
      <c r="AA191" s="10" t="str">
        <f t="shared" si="142"/>
        <v>Operations and Delivery</v>
      </c>
      <c r="AB191" s="10" t="str">
        <f t="shared" si="143"/>
        <v>5oad</v>
      </c>
      <c r="AD191" s="10" t="str">
        <f>"oad01"</f>
        <v>oad01</v>
      </c>
      <c r="AE191" s="10" t="str">
        <f t="shared" si="144"/>
        <v>Finance &amp; Procurement / Head of Finance &amp; Procurement</v>
      </c>
      <c r="AG191" s="10" t="str">
        <f>"25300/1446"</f>
        <v>25300/1446</v>
      </c>
      <c r="AI191" s="10" t="str">
        <f>"14suse"</f>
        <v>14suse</v>
      </c>
      <c r="AJ191" s="15" t="str">
        <f>"Inv No 902_x000D_
Community Safety Partnership"</f>
        <v>Inv No 902_x000D_
Community Safety Partnership</v>
      </c>
      <c r="AK191" s="10" t="str">
        <f t="shared" si="141"/>
        <v>Revenue</v>
      </c>
      <c r="AL191" s="10" t="str">
        <f>""</f>
        <v/>
      </c>
      <c r="AM191" s="10" t="str">
        <f>""</f>
        <v/>
      </c>
      <c r="AN191" s="10" t="str">
        <f>""</f>
        <v/>
      </c>
      <c r="AO191" s="10" t="str">
        <f>""</f>
        <v/>
      </c>
    </row>
    <row r="192" spans="1:41" s="10" customFormat="1" ht="409.6">
      <c r="A192" s="9"/>
      <c r="B192" s="9"/>
      <c r="C192" s="9"/>
      <c r="D192" s="10" t="str">
        <f>"30969"</f>
        <v>30969</v>
      </c>
      <c r="E192" s="11" t="str">
        <f>""</f>
        <v/>
      </c>
      <c r="F192" s="11" t="str">
        <f t="shared" si="135"/>
        <v>372418</v>
      </c>
      <c r="G192" s="11" t="str">
        <f t="shared" si="136"/>
        <v>2017toJAN</v>
      </c>
      <c r="H192" s="11" t="str">
        <f t="shared" si="137"/>
        <v>CRSP06B</v>
      </c>
      <c r="I192" s="11" t="str">
        <f t="shared" si="138"/>
        <v>34</v>
      </c>
      <c r="J192" s="11" t="str">
        <f t="shared" si="139"/>
        <v>Creditor</v>
      </c>
      <c r="K192" s="11" t="str">
        <f>"CS002907"</f>
        <v>CS002907</v>
      </c>
      <c r="L192" s="10" t="str">
        <f>"Gage-Tupper &amp; Associates Ltd"</f>
        <v>Gage-Tupper &amp; Associates Ltd</v>
      </c>
      <c r="M192" s="12" t="str">
        <f>"10/01/2017 00:00:00"</f>
        <v>10/01/2017 00:00:00</v>
      </c>
      <c r="N192" s="12">
        <v>42745</v>
      </c>
      <c r="O192" s="10" t="str">
        <f>"C007434"</f>
        <v>C007434</v>
      </c>
      <c r="P192" s="13">
        <v>660</v>
      </c>
      <c r="Q192" s="11" t="str">
        <f>"660.0000"</f>
        <v>660.0000</v>
      </c>
      <c r="R192" s="10" t="str">
        <f>"059221"</f>
        <v>059221</v>
      </c>
      <c r="S192" s="14" t="str">
        <f>"792.0000"</f>
        <v>792.0000</v>
      </c>
      <c r="T192" s="10">
        <v>40017</v>
      </c>
      <c r="U192" s="10">
        <v>4310</v>
      </c>
      <c r="V192" s="10" t="str">
        <f>"Other Fees (Capital)"</f>
        <v>Other Fees (Capital)</v>
      </c>
      <c r="W192" s="10" t="str">
        <f>"Professional Fees"</f>
        <v>Professional Fees</v>
      </c>
      <c r="X192" s="10" t="str">
        <f>VLOOKUP(U192,'[1]Account code lookup'!A:B,2,0)</f>
        <v>Other Prof.Fees (Capital)</v>
      </c>
      <c r="Z192" s="10" t="str">
        <f>"Capital Community Services"</f>
        <v>Capital Community Services</v>
      </c>
      <c r="AA192" s="10" t="str">
        <f>"Operations and Delivery Cap"</f>
        <v>Operations and Delivery Cap</v>
      </c>
      <c r="AB192" s="10" t="str">
        <f>"c5oad"</f>
        <v>c5oad</v>
      </c>
      <c r="AD192" s="10" t="str">
        <f>"coad01"</f>
        <v>coad01</v>
      </c>
      <c r="AE192" s="10" t="str">
        <f>"Community Services / Recreation &amp; Sports"</f>
        <v>Community Services / Recreation &amp; Sports</v>
      </c>
      <c r="AG192" s="10" t="str">
        <f>"40017/4310"</f>
        <v>40017/4310</v>
      </c>
      <c r="AI192" s="10" t="str">
        <f>"43pfee"</f>
        <v>43pfee</v>
      </c>
      <c r="AJ192" s="15" t="str">
        <f>"Clerk of Works services at Woodgreen Leisure Centre.  21 visits @ £220 per visit by Peter Edmunds as follows:_x000D_
_x000D_
July x 8 visits_x000D_
August x 3 visits_x000D_
September x 4 visits_x000D_
October x 3 visits_x000D_
November x 3 visits"</f>
        <v>Clerk of Works services at Woodgreen Leisure Centre.  21 visits @ £220 per visit by Peter Edmunds as follows:_x000D_
_x000D_
July x 8 visits_x000D_
August x 3 visits_x000D_
September x 4 visits_x000D_
October x 3 visits_x000D_
November x 3 visits</v>
      </c>
      <c r="AK192" s="10" t="str">
        <f>"Capital"</f>
        <v>Capital</v>
      </c>
      <c r="AL192" s="10" t="str">
        <f>""</f>
        <v/>
      </c>
      <c r="AM192" s="10" t="str">
        <f>""</f>
        <v/>
      </c>
      <c r="AN192" s="10" t="str">
        <f>""</f>
        <v/>
      </c>
      <c r="AO192" s="10" t="str">
        <f>""</f>
        <v/>
      </c>
    </row>
    <row r="193" spans="1:41" s="10" customFormat="1" ht="409.6">
      <c r="A193" s="9"/>
      <c r="B193" s="9"/>
      <c r="C193" s="9"/>
      <c r="D193" s="10" t="str">
        <f>"32021"</f>
        <v>32021</v>
      </c>
      <c r="E193" s="11" t="str">
        <f>""</f>
        <v/>
      </c>
      <c r="F193" s="11" t="str">
        <f t="shared" si="135"/>
        <v>372418</v>
      </c>
      <c r="G193" s="11" t="str">
        <f t="shared" si="136"/>
        <v>2017toJAN</v>
      </c>
      <c r="H193" s="11" t="str">
        <f t="shared" si="137"/>
        <v>CRSP06B</v>
      </c>
      <c r="I193" s="11" t="str">
        <f t="shared" si="138"/>
        <v>34</v>
      </c>
      <c r="J193" s="11" t="str">
        <f t="shared" si="139"/>
        <v>Creditor</v>
      </c>
      <c r="K193" s="11" t="str">
        <f>"CS003072"</f>
        <v>CS003072</v>
      </c>
      <c r="L193" s="10" t="str">
        <f>"Geldards LLP"</f>
        <v>Geldards LLP</v>
      </c>
      <c r="M193" s="12" t="str">
        <f>"26/01/2017 00:00:00"</f>
        <v>26/01/2017 00:00:00</v>
      </c>
      <c r="N193" s="12">
        <v>42761</v>
      </c>
      <c r="O193" s="10" t="str">
        <f>"C007520"</f>
        <v>C007520</v>
      </c>
      <c r="P193" s="13">
        <v>2384</v>
      </c>
      <c r="Q193" s="11" t="str">
        <f>"2384.0000"</f>
        <v>2384.0000</v>
      </c>
      <c r="R193" s="10" t="str">
        <f>"059267"</f>
        <v>059267</v>
      </c>
      <c r="S193" s="14" t="str">
        <f>"2860.8000"</f>
        <v>2860.8000</v>
      </c>
      <c r="T193" s="10">
        <v>21754</v>
      </c>
      <c r="U193" s="10">
        <v>3351</v>
      </c>
      <c r="V193" s="10" t="str">
        <f>"Other Customer &amp; Client Income"</f>
        <v>Other Customer &amp; Client Income</v>
      </c>
      <c r="W193" s="10" t="str">
        <f>"Fees and Charges"</f>
        <v>Fees and Charges</v>
      </c>
      <c r="X193" s="10" t="str">
        <f>VLOOKUP(U193,'[1]Account code lookup'!A:B,2,0)</f>
        <v>Legal Costs Recovered</v>
      </c>
      <c r="Z193" s="10" t="str">
        <f>"Law and Governance"</f>
        <v>Law and Governance</v>
      </c>
      <c r="AA193" s="10" t="str">
        <f>"Strategy and Commissioning"</f>
        <v>Strategy and Commissioning</v>
      </c>
      <c r="AB193" s="10" t="str">
        <f>"4sac"</f>
        <v>4sac</v>
      </c>
      <c r="AD193" s="10" t="str">
        <f>"sac07"</f>
        <v>sac07</v>
      </c>
      <c r="AE193" s="10" t="str">
        <f>"Law &amp; Governance / Legal"</f>
        <v>Law &amp; Governance / Legal</v>
      </c>
      <c r="AG193" s="10" t="str">
        <f>"21754/3351"</f>
        <v>21754/3351</v>
      </c>
      <c r="AI193" s="10" t="str">
        <f>"33fees"</f>
        <v>33fees</v>
      </c>
      <c r="AJ193" s="15" t="str">
        <f>""</f>
        <v/>
      </c>
      <c r="AK193" s="10" t="str">
        <f t="shared" ref="AK193:AK198" si="145">"Revenue"</f>
        <v>Revenue</v>
      </c>
      <c r="AL193" s="10" t="str">
        <f>""</f>
        <v/>
      </c>
      <c r="AM193" s="10" t="str">
        <f>""</f>
        <v/>
      </c>
      <c r="AN193" s="10" t="str">
        <f>""</f>
        <v/>
      </c>
      <c r="AO193" s="10" t="str">
        <f>""</f>
        <v/>
      </c>
    </row>
    <row r="194" spans="1:41" s="10" customFormat="1" ht="409.6">
      <c r="A194" s="9"/>
      <c r="B194" s="9"/>
      <c r="C194" s="9"/>
      <c r="D194" s="10" t="str">
        <f>"32035"</f>
        <v>32035</v>
      </c>
      <c r="E194" s="11" t="str">
        <f>""</f>
        <v/>
      </c>
      <c r="F194" s="11" t="str">
        <f t="shared" si="135"/>
        <v>372418</v>
      </c>
      <c r="G194" s="11" t="str">
        <f t="shared" si="136"/>
        <v>2017toJAN</v>
      </c>
      <c r="H194" s="11" t="str">
        <f t="shared" si="137"/>
        <v>CRSP06B</v>
      </c>
      <c r="I194" s="11" t="str">
        <f t="shared" si="138"/>
        <v>34</v>
      </c>
      <c r="J194" s="11" t="str">
        <f t="shared" si="139"/>
        <v>Creditor</v>
      </c>
      <c r="K194" s="11" t="str">
        <f>"CS000153"</f>
        <v>CS000153</v>
      </c>
      <c r="L194" s="10" t="str">
        <f>"Goss Interactive Ltd"</f>
        <v>Goss Interactive Ltd</v>
      </c>
      <c r="M194" s="12" t="str">
        <f>"09/01/2017 00:00:00"</f>
        <v>09/01/2017 00:00:00</v>
      </c>
      <c r="N194" s="12">
        <v>42744</v>
      </c>
      <c r="O194" s="10" t="str">
        <f>"C007758"</f>
        <v>C007758</v>
      </c>
      <c r="P194" s="13">
        <v>2250</v>
      </c>
      <c r="Q194" s="11" t="str">
        <f>"2250.0000"</f>
        <v>2250.0000</v>
      </c>
      <c r="R194" s="10" t="str">
        <f>"C0004321"</f>
        <v>C0004321</v>
      </c>
      <c r="S194" s="14" t="str">
        <f>"2700.0000"</f>
        <v>2700.0000</v>
      </c>
      <c r="T194" s="10">
        <v>22107</v>
      </c>
      <c r="U194" s="10">
        <v>1518</v>
      </c>
      <c r="V194" s="10" t="str">
        <f>"Communications and computing"</f>
        <v>Communications and computing</v>
      </c>
      <c r="W194" s="10" t="str">
        <f>"Supplies and Services"</f>
        <v>Supplies and Services</v>
      </c>
      <c r="X194" s="10" t="str">
        <f>VLOOKUP(U194,'[1]Account code lookup'!A:B,2,0)</f>
        <v>Software Support Contract</v>
      </c>
      <c r="Z194" s="10" t="str">
        <f>"Communications and Corporate P"</f>
        <v>Communications and Corporate P</v>
      </c>
      <c r="AA194" s="10" t="str">
        <f>"Strategy and Commissioning"</f>
        <v>Strategy and Commissioning</v>
      </c>
      <c r="AB194" s="10" t="str">
        <f>"4sac"</f>
        <v>4sac</v>
      </c>
      <c r="AD194" s="10" t="str">
        <f>"sac03"</f>
        <v>sac03</v>
      </c>
      <c r="AE194" s="10" t="str">
        <f>"Finance &amp; Procurement / Head of Finance &amp; Procurement"</f>
        <v>Finance &amp; Procurement / Head of Finance &amp; Procurement</v>
      </c>
      <c r="AG194" s="10" t="str">
        <f>"22107/1518"</f>
        <v>22107/1518</v>
      </c>
      <c r="AI194" s="10" t="str">
        <f>"14suse"</f>
        <v>14suse</v>
      </c>
      <c r="AJ194" s="15" t="str">
        <f>"GOSS upgrade to iCM V10"</f>
        <v>GOSS upgrade to iCM V10</v>
      </c>
      <c r="AK194" s="10" t="str">
        <f t="shared" si="145"/>
        <v>Revenue</v>
      </c>
      <c r="AL194" s="10" t="str">
        <f>""</f>
        <v/>
      </c>
      <c r="AM194" s="10" t="str">
        <f>""</f>
        <v/>
      </c>
      <c r="AN194" s="10" t="str">
        <f>""</f>
        <v/>
      </c>
      <c r="AO194" s="10" t="str">
        <f>""</f>
        <v/>
      </c>
    </row>
    <row r="195" spans="1:41" s="10" customFormat="1" ht="409.6">
      <c r="A195" s="9"/>
      <c r="B195" s="9"/>
      <c r="C195" s="9"/>
      <c r="D195" s="10" t="str">
        <f>"32680"</f>
        <v>32680</v>
      </c>
      <c r="E195" s="11" t="str">
        <f>""</f>
        <v/>
      </c>
      <c r="F195" s="11" t="str">
        <f t="shared" si="135"/>
        <v>372418</v>
      </c>
      <c r="G195" s="11" t="str">
        <f t="shared" si="136"/>
        <v>2017toJAN</v>
      </c>
      <c r="H195" s="11" t="str">
        <f t="shared" si="137"/>
        <v>CRSP06B</v>
      </c>
      <c r="I195" s="11" t="str">
        <f t="shared" si="138"/>
        <v>34</v>
      </c>
      <c r="J195" s="11" t="str">
        <f t="shared" si="139"/>
        <v>Creditor</v>
      </c>
      <c r="K195" s="11" t="str">
        <f>"CS003029"</f>
        <v>CS003029</v>
      </c>
      <c r="L195" s="10" t="str">
        <f>"Gracia Fellmeth"</f>
        <v>Gracia Fellmeth</v>
      </c>
      <c r="M195" s="12" t="str">
        <f>"10/01/2017 00:00:00"</f>
        <v>10/01/2017 00:00:00</v>
      </c>
      <c r="N195" s="12">
        <v>42745</v>
      </c>
      <c r="O195" s="10" t="str">
        <f>"C007572"</f>
        <v>C007572</v>
      </c>
      <c r="P195" s="13">
        <v>2000</v>
      </c>
      <c r="Q195" s="11" t="str">
        <f>"2000.0000"</f>
        <v>2000.0000</v>
      </c>
      <c r="R195" s="10" t="str">
        <f>"059235"</f>
        <v>059235</v>
      </c>
      <c r="S195" s="14" t="str">
        <f>"2000.0000"</f>
        <v>2000.0000</v>
      </c>
      <c r="T195" s="10">
        <v>21759</v>
      </c>
      <c r="U195" s="10">
        <v>1768</v>
      </c>
      <c r="V195" s="10" t="str">
        <f>"Professional Fees"</f>
        <v>Professional Fees</v>
      </c>
      <c r="W195" s="10" t="str">
        <f>"Third Party Payments"</f>
        <v>Third Party Payments</v>
      </c>
      <c r="X195" s="10" t="str">
        <f>VLOOKUP(U195,'[1]Account code lookup'!A:B,2,0)</f>
        <v>Bicester Healthy New Towns</v>
      </c>
      <c r="Z195" s="10" t="str">
        <f>"Dir of Operations and Delivery"</f>
        <v>Dir of Operations and Delivery</v>
      </c>
      <c r="AA195" s="10" t="str">
        <f>"Operations and Delivery"</f>
        <v>Operations and Delivery</v>
      </c>
      <c r="AB195" s="10" t="str">
        <f>"5oad"</f>
        <v>5oad</v>
      </c>
      <c r="AD195" s="10" t="str">
        <f>"oad03"</f>
        <v>oad03</v>
      </c>
      <c r="AE195" s="10" t="str">
        <f>"Finance &amp; Procurement / Head of Finance &amp; Procurement"</f>
        <v>Finance &amp; Procurement / Head of Finance &amp; Procurement</v>
      </c>
      <c r="AG195" s="10" t="str">
        <f>"21759/1768"</f>
        <v>21759/1768</v>
      </c>
      <c r="AI195" s="10" t="str">
        <f>"17tpp"</f>
        <v>17tpp</v>
      </c>
      <c r="AJ195" s="15" t="str">
        <f>"Healthy New Town evaluation work."</f>
        <v>Healthy New Town evaluation work.</v>
      </c>
      <c r="AK195" s="10" t="str">
        <f t="shared" si="145"/>
        <v>Revenue</v>
      </c>
      <c r="AL195" s="10" t="str">
        <f>""</f>
        <v/>
      </c>
      <c r="AM195" s="10" t="str">
        <f>""</f>
        <v/>
      </c>
      <c r="AN195" s="10" t="str">
        <f>""</f>
        <v/>
      </c>
      <c r="AO195" s="10" t="str">
        <f>""</f>
        <v/>
      </c>
    </row>
    <row r="196" spans="1:41" s="10" customFormat="1" ht="409.6">
      <c r="A196" s="9"/>
      <c r="B196" s="9"/>
      <c r="C196" s="9"/>
      <c r="D196" s="10" t="str">
        <f>"32682"</f>
        <v>32682</v>
      </c>
      <c r="E196" s="11" t="str">
        <f>""</f>
        <v/>
      </c>
      <c r="F196" s="11" t="str">
        <f t="shared" si="135"/>
        <v>372418</v>
      </c>
      <c r="G196" s="11" t="str">
        <f t="shared" si="136"/>
        <v>2017toJAN</v>
      </c>
      <c r="H196" s="11" t="str">
        <f t="shared" si="137"/>
        <v>CRSP06B</v>
      </c>
      <c r="I196" s="11" t="str">
        <f t="shared" si="138"/>
        <v>34</v>
      </c>
      <c r="J196" s="11" t="str">
        <f t="shared" si="139"/>
        <v>Creditor</v>
      </c>
      <c r="K196" s="11" t="str">
        <f>"CS000165"</f>
        <v>CS000165</v>
      </c>
      <c r="L196" s="10" t="str">
        <f>"Green Gardens"</f>
        <v>Green Gardens</v>
      </c>
      <c r="M196" s="12" t="str">
        <f>"27/01/2017 00:00:00"</f>
        <v>27/01/2017 00:00:00</v>
      </c>
      <c r="N196" s="12">
        <v>42762</v>
      </c>
      <c r="O196" s="10" t="str">
        <f>"C008140"</f>
        <v>C008140</v>
      </c>
      <c r="P196" s="13">
        <v>579.79999999999995</v>
      </c>
      <c r="Q196" s="11" t="str">
        <f>"579.8000"</f>
        <v>579.8000</v>
      </c>
      <c r="R196" s="10" t="str">
        <f>"C0004580"</f>
        <v>C0004580</v>
      </c>
      <c r="S196" s="14" t="str">
        <f>"579.8000"</f>
        <v>579.8000</v>
      </c>
      <c r="T196" s="10">
        <v>24200</v>
      </c>
      <c r="U196" s="10">
        <v>1725</v>
      </c>
      <c r="V196" s="10" t="str">
        <f>"Private Contractors"</f>
        <v>Private Contractors</v>
      </c>
      <c r="W196" s="10" t="str">
        <f>"Third Party Payments"</f>
        <v>Third Party Payments</v>
      </c>
      <c r="X196" s="10" t="str">
        <f>VLOOKUP(U196,'[1]Account code lookup'!A:B,2,0)</f>
        <v>Contractor Ad Hoc Payments</v>
      </c>
      <c r="Z196" s="10" t="str">
        <f>"Environmental Services"</f>
        <v>Environmental Services</v>
      </c>
      <c r="AA196" s="10" t="str">
        <f>"Operations and Delivery"</f>
        <v>Operations and Delivery</v>
      </c>
      <c r="AB196" s="10" t="str">
        <f>"5oad"</f>
        <v>5oad</v>
      </c>
      <c r="AD196" s="10" t="str">
        <f>"oad02"</f>
        <v>oad02</v>
      </c>
      <c r="AE196" s="10" t="str">
        <f>"Environmental Services / Street Scene &amp; Landscape Services"</f>
        <v>Environmental Services / Street Scene &amp; Landscape Services</v>
      </c>
      <c r="AG196" s="10" t="str">
        <f>"24200/1725"</f>
        <v>24200/1725</v>
      </c>
      <c r="AI196" s="10" t="str">
        <f>"17tpp"</f>
        <v>17tpp</v>
      </c>
      <c r="AJ196" s="15" t="str">
        <f>"CHERWELL DISTRICT COUNCIL - BULBS WINTER 2016				_x000D_
As per quotation 14/11/16 for the supply of bulbs, substitutions accepted_x000D_
_x000D_
NORTH REQUIREMENTS	No._x000D_
	_x000D_
Tulip Verandi	                    4220_x000D_
Narcissi Golden Dawn	                    770_x000D_
Tulip Brillian"</f>
        <v>CHERWELL DISTRICT COUNCIL - BULBS WINTER 2016				_x000D_
As per quotation 14/11/16 for the supply of bulbs, substitutions accepted_x000D_
_x000D_
NORTH REQUIREMENTS	No._x000D_
	_x000D_
Tulip Verandi	                    4220_x000D_
Narcissi Golden Dawn	                    770_x000D_
Tulip Brillian</v>
      </c>
      <c r="AK196" s="10" t="str">
        <f t="shared" si="145"/>
        <v>Revenue</v>
      </c>
      <c r="AL196" s="10" t="str">
        <f>""</f>
        <v/>
      </c>
      <c r="AM196" s="10" t="str">
        <f>""</f>
        <v/>
      </c>
      <c r="AN196" s="10" t="str">
        <f>""</f>
        <v/>
      </c>
      <c r="AO196" s="10" t="str">
        <f>""</f>
        <v/>
      </c>
    </row>
    <row r="197" spans="1:41" s="10" customFormat="1" ht="409.6">
      <c r="A197" s="9"/>
      <c r="B197" s="9"/>
      <c r="C197" s="9"/>
      <c r="D197" s="10" t="str">
        <f>"32683"</f>
        <v>32683</v>
      </c>
      <c r="E197" s="11" t="str">
        <f>""</f>
        <v/>
      </c>
      <c r="F197" s="11" t="str">
        <f t="shared" si="135"/>
        <v>372418</v>
      </c>
      <c r="G197" s="11" t="str">
        <f t="shared" si="136"/>
        <v>2017toJAN</v>
      </c>
      <c r="H197" s="11" t="str">
        <f t="shared" si="137"/>
        <v>CRSP06B</v>
      </c>
      <c r="I197" s="11" t="str">
        <f t="shared" si="138"/>
        <v>34</v>
      </c>
      <c r="J197" s="11" t="str">
        <f t="shared" si="139"/>
        <v>Creditor</v>
      </c>
      <c r="K197" s="11" t="str">
        <f>"CS002341"</f>
        <v>CS002341</v>
      </c>
      <c r="L197" s="10" t="str">
        <f>"Greenwood Builders Ltd"</f>
        <v>Greenwood Builders Ltd</v>
      </c>
      <c r="M197" s="12" t="str">
        <f>"04/01/2017 00:00:00"</f>
        <v>04/01/2017 00:00:00</v>
      </c>
      <c r="N197" s="12">
        <v>42739</v>
      </c>
      <c r="O197" s="10" t="str">
        <f>"C007582"</f>
        <v>C007582</v>
      </c>
      <c r="P197" s="13">
        <v>590</v>
      </c>
      <c r="Q197" s="11" t="str">
        <f>"590.0000"</f>
        <v>590.0000</v>
      </c>
      <c r="R197" s="10" t="str">
        <f>"C0004277"</f>
        <v>C0004277</v>
      </c>
      <c r="S197" s="14" t="str">
        <f>"2052.0000"</f>
        <v>2052.0000</v>
      </c>
      <c r="T197" s="10">
        <v>29510</v>
      </c>
      <c r="U197" s="10">
        <v>1200</v>
      </c>
      <c r="V197" s="10" t="str">
        <f>"Repairs &amp; Maintenance"</f>
        <v>Repairs &amp; Maintenance</v>
      </c>
      <c r="W197" s="10" t="str">
        <f>"Premises Related Expenditure"</f>
        <v>Premises Related Expenditure</v>
      </c>
      <c r="X197" s="10" t="str">
        <f>VLOOKUP(U197,'[1]Account code lookup'!A:B,2,0)</f>
        <v>Repair &amp; Maintenance</v>
      </c>
      <c r="Z197" s="10" t="str">
        <f>"Regeneration and Housing"</f>
        <v>Regeneration and Housing</v>
      </c>
      <c r="AA197" s="10" t="str">
        <f>"Commercial Development"</f>
        <v>Commercial Development</v>
      </c>
      <c r="AB197" s="10" t="str">
        <f>"2cdb"</f>
        <v>2cdb</v>
      </c>
      <c r="AD197" s="10" t="str">
        <f>"cdb02"</f>
        <v>cdb02</v>
      </c>
      <c r="AE197" s="10" t="str">
        <f>"Regeneration &amp; Housing / Delivery Team"</f>
        <v>Regeneration &amp; Housing / Delivery Team</v>
      </c>
      <c r="AG197" s="10" t="str">
        <f>"29510/1200"</f>
        <v>29510/1200</v>
      </c>
      <c r="AI197" s="10" t="str">
        <f>"12prem"</f>
        <v>12prem</v>
      </c>
      <c r="AJ197" s="15" t="str">
        <f>"Greenwood Builders stolen items:_x000D_
Paint brushes_x000D_
Rollers_x000D_
Scrapers_x000D_
Tool box_x000D_
Hammer_x000D_
Screwdrivers_x000D_
Radio_x000D_
Impact driver and batteries_x000D_
TOTAL COST OF ITEMS: £590.00 + VAT"</f>
        <v>Greenwood Builders stolen items:_x000D_
Paint brushes_x000D_
Rollers_x000D_
Scrapers_x000D_
Tool box_x000D_
Hammer_x000D_
Screwdrivers_x000D_
Radio_x000D_
Impact driver and batteries_x000D_
TOTAL COST OF ITEMS: £590.00 + VAT</v>
      </c>
      <c r="AK197" s="10" t="str">
        <f t="shared" si="145"/>
        <v>Revenue</v>
      </c>
      <c r="AL197" s="10" t="str">
        <f>""</f>
        <v/>
      </c>
      <c r="AM197" s="10" t="str">
        <f>""</f>
        <v/>
      </c>
      <c r="AN197" s="10" t="str">
        <f>""</f>
        <v/>
      </c>
      <c r="AO197" s="10" t="str">
        <f>""</f>
        <v/>
      </c>
    </row>
    <row r="198" spans="1:41" s="10" customFormat="1" ht="409.6">
      <c r="A198" s="9"/>
      <c r="B198" s="9"/>
      <c r="C198" s="9"/>
      <c r="D198" s="10" t="str">
        <f>"32684"</f>
        <v>32684</v>
      </c>
      <c r="E198" s="11" t="str">
        <f>""</f>
        <v/>
      </c>
      <c r="F198" s="11" t="str">
        <f t="shared" si="135"/>
        <v>372418</v>
      </c>
      <c r="G198" s="11" t="str">
        <f t="shared" si="136"/>
        <v>2017toJAN</v>
      </c>
      <c r="H198" s="11" t="str">
        <f t="shared" si="137"/>
        <v>CRSP06B</v>
      </c>
      <c r="I198" s="11" t="str">
        <f t="shared" si="138"/>
        <v>34</v>
      </c>
      <c r="J198" s="11" t="str">
        <f t="shared" si="139"/>
        <v>Creditor</v>
      </c>
      <c r="K198" s="11" t="str">
        <f>"CS002341"</f>
        <v>CS002341</v>
      </c>
      <c r="L198" s="10" t="str">
        <f>"Greenwood Builders Ltd"</f>
        <v>Greenwood Builders Ltd</v>
      </c>
      <c r="M198" s="12" t="str">
        <f>"04/01/2017 00:00:00"</f>
        <v>04/01/2017 00:00:00</v>
      </c>
      <c r="N198" s="12">
        <v>42739</v>
      </c>
      <c r="O198" s="10" t="str">
        <f>"C007582"</f>
        <v>C007582</v>
      </c>
      <c r="P198" s="13">
        <v>645</v>
      </c>
      <c r="Q198" s="11" t="str">
        <f>"645.0000"</f>
        <v>645.0000</v>
      </c>
      <c r="R198" s="10" t="str">
        <f>"C0004277"</f>
        <v>C0004277</v>
      </c>
      <c r="S198" s="14" t="str">
        <f>"2052.0000"</f>
        <v>2052.0000</v>
      </c>
      <c r="T198" s="10">
        <v>29510</v>
      </c>
      <c r="U198" s="10">
        <v>1200</v>
      </c>
      <c r="V198" s="10" t="str">
        <f>"Repairs &amp; Maintenance"</f>
        <v>Repairs &amp; Maintenance</v>
      </c>
      <c r="W198" s="10" t="str">
        <f>"Premises Related Expenditure"</f>
        <v>Premises Related Expenditure</v>
      </c>
      <c r="X198" s="10" t="str">
        <f>VLOOKUP(U198,'[1]Account code lookup'!A:B,2,0)</f>
        <v>Repair &amp; Maintenance</v>
      </c>
      <c r="Z198" s="10" t="str">
        <f>"Regeneration and Housing"</f>
        <v>Regeneration and Housing</v>
      </c>
      <c r="AA198" s="10" t="str">
        <f>"Commercial Development"</f>
        <v>Commercial Development</v>
      </c>
      <c r="AB198" s="10" t="str">
        <f>"2cdb"</f>
        <v>2cdb</v>
      </c>
      <c r="AD198" s="10" t="str">
        <f>"cdb02"</f>
        <v>cdb02</v>
      </c>
      <c r="AE198" s="10" t="str">
        <f>"Regeneration &amp; Housing / Delivery Team"</f>
        <v>Regeneration &amp; Housing / Delivery Team</v>
      </c>
      <c r="AG198" s="10" t="str">
        <f>"29510/1200"</f>
        <v>29510/1200</v>
      </c>
      <c r="AI198" s="10" t="str">
        <f>"12prem"</f>
        <v>12prem</v>
      </c>
      <c r="AJ198" s="15" t="str">
        <f>"RE: FLAT 4, DRAPER HOUSE, BANBURY_x000D_
Crime ref no. 43160315970_x000D_
Following the break in at the above location we carried out the following work to rectify the damage caused._x000D_
1. Remove broken glass and fit new laminated glass in place._x000D_
2. Make good wall whe"</f>
        <v>RE: FLAT 4, DRAPER HOUSE, BANBURY_x000D_
Crime ref no. 43160315970_x000D_
Following the break in at the above location we carried out the following work to rectify the damage caused._x000D_
1. Remove broken glass and fit new laminated glass in place._x000D_
2. Make good wall whe</v>
      </c>
      <c r="AK198" s="10" t="str">
        <f t="shared" si="145"/>
        <v>Revenue</v>
      </c>
      <c r="AL198" s="10" t="str">
        <f>""</f>
        <v/>
      </c>
      <c r="AM198" s="10" t="str">
        <f>""</f>
        <v/>
      </c>
      <c r="AN198" s="10" t="str">
        <f>""</f>
        <v/>
      </c>
      <c r="AO198" s="10" t="str">
        <f>""</f>
        <v/>
      </c>
    </row>
    <row r="199" spans="1:41" s="10" customFormat="1" ht="409.6">
      <c r="A199" s="9"/>
      <c r="B199" s="9"/>
      <c r="C199" s="9"/>
      <c r="D199" s="10" t="str">
        <f>"32685"</f>
        <v>32685</v>
      </c>
      <c r="E199" s="11" t="str">
        <f>""</f>
        <v/>
      </c>
      <c r="F199" s="11" t="str">
        <f t="shared" si="135"/>
        <v>372418</v>
      </c>
      <c r="G199" s="11" t="str">
        <f t="shared" si="136"/>
        <v>2017toJAN</v>
      </c>
      <c r="H199" s="11" t="str">
        <f t="shared" si="137"/>
        <v>CRSP06B</v>
      </c>
      <c r="I199" s="11" t="str">
        <f t="shared" si="138"/>
        <v>34</v>
      </c>
      <c r="J199" s="11" t="str">
        <f t="shared" si="139"/>
        <v>Creditor</v>
      </c>
      <c r="K199" s="11" t="str">
        <f>"CS002341"</f>
        <v>CS002341</v>
      </c>
      <c r="L199" s="10" t="str">
        <f>"Greenwood Builders Ltd"</f>
        <v>Greenwood Builders Ltd</v>
      </c>
      <c r="M199" s="12" t="str">
        <f>"04/01/2017 00:00:00"</f>
        <v>04/01/2017 00:00:00</v>
      </c>
      <c r="N199" s="12">
        <v>42739</v>
      </c>
      <c r="O199" s="10" t="str">
        <f>"C007581"</f>
        <v>C007581</v>
      </c>
      <c r="P199" s="13">
        <v>475</v>
      </c>
      <c r="Q199" s="11" t="str">
        <f>"475.0000"</f>
        <v>475.0000</v>
      </c>
      <c r="R199" s="10" t="str">
        <f>"C0004277"</f>
        <v>C0004277</v>
      </c>
      <c r="S199" s="14" t="str">
        <f>"2052.0000"</f>
        <v>2052.0000</v>
      </c>
      <c r="T199" s="10">
        <v>40115</v>
      </c>
      <c r="U199" s="10">
        <v>4100</v>
      </c>
      <c r="V199" s="10" t="str">
        <f>"Capital Works"</f>
        <v>Capital Works</v>
      </c>
      <c r="W199" s="10" t="str">
        <f>"Capital Works"</f>
        <v>Capital Works</v>
      </c>
      <c r="X199" s="10" t="str">
        <f>VLOOKUP(U199,'[1]Account code lookup'!A:B,2,0)</f>
        <v>Contractors Capital Payments</v>
      </c>
      <c r="Z199" s="10" t="str">
        <f>"Capital Regen and Housing"</f>
        <v>Capital Regen and Housing</v>
      </c>
      <c r="AA199" s="10" t="str">
        <f>"Commercial Development Capital"</f>
        <v>Commercial Development Capital</v>
      </c>
      <c r="AB199" s="10" t="str">
        <f>"c2cdb"</f>
        <v>c2cdb</v>
      </c>
      <c r="AD199" s="10" t="str">
        <f>"ccdb02"</f>
        <v>ccdb02</v>
      </c>
      <c r="AE199" s="10" t="str">
        <f>"Regeneration &amp; Housing / Delivery Team"</f>
        <v>Regeneration &amp; Housing / Delivery Team</v>
      </c>
      <c r="AG199" s="10" t="str">
        <f>"40115/4100"</f>
        <v>40115/4100</v>
      </c>
      <c r="AI199" s="10" t="str">
        <f>"41cwrk"</f>
        <v>41cwrk</v>
      </c>
      <c r="AJ199" s="15" t="str">
        <f>"Supply and install new kitchen worktop			_x000D_
1 Drapers House"</f>
        <v>Supply and install new kitchen worktop			_x000D_
1 Drapers House</v>
      </c>
      <c r="AK199" s="10" t="str">
        <f>"Capital"</f>
        <v>Capital</v>
      </c>
      <c r="AL199" s="10" t="str">
        <f>""</f>
        <v/>
      </c>
      <c r="AM199" s="10" t="str">
        <f>""</f>
        <v/>
      </c>
      <c r="AN199" s="10" t="str">
        <f>""</f>
        <v/>
      </c>
      <c r="AO199" s="10" t="str">
        <f>""</f>
        <v/>
      </c>
    </row>
    <row r="200" spans="1:41" s="10" customFormat="1" ht="409.6">
      <c r="A200" s="9"/>
      <c r="B200" s="9"/>
      <c r="C200" s="9"/>
      <c r="D200" s="10" t="str">
        <f>"32686"</f>
        <v>32686</v>
      </c>
      <c r="E200" s="11" t="str">
        <f>""</f>
        <v/>
      </c>
      <c r="F200" s="11" t="str">
        <f t="shared" si="135"/>
        <v>372418</v>
      </c>
      <c r="G200" s="11" t="str">
        <f t="shared" si="136"/>
        <v>2017toJAN</v>
      </c>
      <c r="H200" s="11" t="str">
        <f t="shared" si="137"/>
        <v>CRSP06B</v>
      </c>
      <c r="I200" s="11" t="str">
        <f t="shared" si="138"/>
        <v>34</v>
      </c>
      <c r="J200" s="11" t="str">
        <f t="shared" si="139"/>
        <v>Creditor</v>
      </c>
      <c r="K200" s="11" t="str">
        <f>"CS002341"</f>
        <v>CS002341</v>
      </c>
      <c r="L200" s="10" t="str">
        <f>"Greenwood Builders Ltd"</f>
        <v>Greenwood Builders Ltd</v>
      </c>
      <c r="M200" s="12" t="str">
        <f>"16/01/2017 00:00:00"</f>
        <v>16/01/2017 00:00:00</v>
      </c>
      <c r="N200" s="12">
        <v>42751</v>
      </c>
      <c r="O200" s="10" t="str">
        <f>"C007903"</f>
        <v>C007903</v>
      </c>
      <c r="P200" s="13">
        <v>948</v>
      </c>
      <c r="Q200" s="11" t="str">
        <f>"948.0000"</f>
        <v>948.0000</v>
      </c>
      <c r="R200" s="10" t="str">
        <f>"C0004453"</f>
        <v>C0004453</v>
      </c>
      <c r="S200" s="14" t="str">
        <f>"1137.6000"</f>
        <v>1137.6000</v>
      </c>
      <c r="T200" s="10">
        <v>28307</v>
      </c>
      <c r="U200" s="10">
        <v>1200</v>
      </c>
      <c r="V200" s="10" t="str">
        <f>"Repairs &amp; Maintenance"</f>
        <v>Repairs &amp; Maintenance</v>
      </c>
      <c r="W200" s="10" t="str">
        <f>"Premises Related Expenditure"</f>
        <v>Premises Related Expenditure</v>
      </c>
      <c r="X200" s="10" t="str">
        <f>VLOOKUP(U200,'[1]Account code lookup'!A:B,2,0)</f>
        <v>Repair &amp; Maintenance</v>
      </c>
      <c r="Z200" s="10" t="str">
        <f>"Regeneration and Housing"</f>
        <v>Regeneration and Housing</v>
      </c>
      <c r="AA200" s="10" t="str">
        <f>"Commercial Development"</f>
        <v>Commercial Development</v>
      </c>
      <c r="AB200" s="10" t="str">
        <f>"2cdb"</f>
        <v>2cdb</v>
      </c>
      <c r="AD200" s="10" t="str">
        <f>"cdb02"</f>
        <v>cdb02</v>
      </c>
      <c r="AE200" s="10" t="str">
        <f>"Finance &amp; Procurement / Finance"</f>
        <v>Finance &amp; Procurement / Finance</v>
      </c>
      <c r="AG200" s="10" t="str">
        <f>"28307/1200"</f>
        <v>28307/1200</v>
      </c>
      <c r="AI200" s="10" t="str">
        <f>"12prem"</f>
        <v>12prem</v>
      </c>
      <c r="AJ200" s="15" t="str">
        <f>"68 Springfield: _x000D_
1) Supply and fit radiator ends and top to 1no. 1200mm long radiator._x000D_
2) Uplift existing loose vinyl strips near doors in conservatory, allow to dry and re-fit._x000D_
3) Supply and fit new door seals to conservatory doors and re-fix lock._x000D_
4"</f>
        <v>68 Springfield: _x000D_
1) Supply and fit radiator ends and top to 1no. 1200mm long radiator._x000D_
2) Uplift existing loose vinyl strips near doors in conservatory, allow to dry and re-fit._x000D_
3) Supply and fit new door seals to conservatory doors and re-fix lock._x000D_
4</v>
      </c>
      <c r="AK200" s="10" t="str">
        <f>"Revenue"</f>
        <v>Revenue</v>
      </c>
      <c r="AL200" s="10" t="str">
        <f>""</f>
        <v/>
      </c>
      <c r="AM200" s="10" t="str">
        <f>""</f>
        <v/>
      </c>
      <c r="AN200" s="10" t="str">
        <f>""</f>
        <v/>
      </c>
      <c r="AO200" s="10" t="str">
        <f>""</f>
        <v/>
      </c>
    </row>
    <row r="201" spans="1:41" s="10" customFormat="1" ht="409.6">
      <c r="A201" s="9"/>
      <c r="B201" s="9"/>
      <c r="C201" s="9"/>
      <c r="D201" s="10" t="str">
        <f>"32687"</f>
        <v>32687</v>
      </c>
      <c r="E201" s="11" t="str">
        <f>""</f>
        <v/>
      </c>
      <c r="F201" s="11" t="str">
        <f t="shared" si="135"/>
        <v>372418</v>
      </c>
      <c r="G201" s="11" t="str">
        <f t="shared" si="136"/>
        <v>2017toJAN</v>
      </c>
      <c r="H201" s="11" t="str">
        <f t="shared" si="137"/>
        <v>CRSP06B</v>
      </c>
      <c r="I201" s="11" t="str">
        <f t="shared" si="138"/>
        <v>34</v>
      </c>
      <c r="J201" s="11" t="str">
        <f t="shared" si="139"/>
        <v>Creditor</v>
      </c>
      <c r="K201" s="11" t="str">
        <f>"CS002794"</f>
        <v>CS002794</v>
      </c>
      <c r="L201" s="10" t="str">
        <f>"Grimsbury Family Association"</f>
        <v>Grimsbury Family Association</v>
      </c>
      <c r="M201" s="12" t="str">
        <f>"26/01/2017 00:00:00"</f>
        <v>26/01/2017 00:00:00</v>
      </c>
      <c r="N201" s="12">
        <v>42761</v>
      </c>
      <c r="O201" s="10" t="str">
        <f>"C008104"</f>
        <v>C008104</v>
      </c>
      <c r="P201" s="13">
        <v>500</v>
      </c>
      <c r="Q201" s="11" t="str">
        <f>"500.0000"</f>
        <v>500.0000</v>
      </c>
      <c r="R201" s="10" t="str">
        <f>"059262"</f>
        <v>059262</v>
      </c>
      <c r="S201" s="14" t="str">
        <f>"500.0000"</f>
        <v>500.0000</v>
      </c>
      <c r="T201" s="10">
        <v>24010</v>
      </c>
      <c r="U201" s="10">
        <v>1496</v>
      </c>
      <c r="V201" s="10" t="str">
        <f>"Services"</f>
        <v>Services</v>
      </c>
      <c r="W201" s="10" t="str">
        <f>"Supplies and Services"</f>
        <v>Supplies and Services</v>
      </c>
      <c r="X201" s="10" t="str">
        <f>VLOOKUP(U201,'[1]Account code lookup'!A:B,2,0)</f>
        <v>Activities (workshop fees)</v>
      </c>
      <c r="Z201" s="10" t="str">
        <f>"Community Services"</f>
        <v>Community Services</v>
      </c>
      <c r="AA201" s="10" t="str">
        <f>"Operations and Delivery"</f>
        <v>Operations and Delivery</v>
      </c>
      <c r="AB201" s="10" t="str">
        <f>"5oad"</f>
        <v>5oad</v>
      </c>
      <c r="AD201" s="10" t="str">
        <f>"oad01"</f>
        <v>oad01</v>
      </c>
      <c r="AE201" s="10" t="str">
        <f>"Finance &amp; Procurement / Head of Finance &amp; Procurement"</f>
        <v>Finance &amp; Procurement / Head of Finance &amp; Procurement</v>
      </c>
      <c r="AG201" s="10" t="str">
        <f>"24010/1496"</f>
        <v>24010/1496</v>
      </c>
      <c r="AI201" s="10" t="str">
        <f>"14suse"</f>
        <v>14suse</v>
      </c>
      <c r="AJ201" s="15" t="str">
        <f>"Taking Part Community Singing Project"</f>
        <v>Taking Part Community Singing Project</v>
      </c>
      <c r="AK201" s="10" t="str">
        <f>"Revenue"</f>
        <v>Revenue</v>
      </c>
      <c r="AL201" s="10" t="str">
        <f>""</f>
        <v/>
      </c>
      <c r="AM201" s="10" t="str">
        <f>""</f>
        <v/>
      </c>
      <c r="AN201" s="10" t="str">
        <f>""</f>
        <v/>
      </c>
      <c r="AO201" s="10" t="str">
        <f>""</f>
        <v/>
      </c>
    </row>
    <row r="202" spans="1:41" s="10" customFormat="1" ht="409.6">
      <c r="A202" s="9"/>
      <c r="B202" s="9"/>
      <c r="C202" s="9"/>
      <c r="D202" s="10" t="str">
        <f>"32688"</f>
        <v>32688</v>
      </c>
      <c r="E202" s="11" t="str">
        <f>""</f>
        <v/>
      </c>
      <c r="F202" s="11" t="str">
        <f t="shared" si="135"/>
        <v>372418</v>
      </c>
      <c r="G202" s="11" t="str">
        <f t="shared" si="136"/>
        <v>2017toJAN</v>
      </c>
      <c r="H202" s="11" t="str">
        <f t="shared" si="137"/>
        <v>CRSP06B</v>
      </c>
      <c r="I202" s="11" t="str">
        <f t="shared" si="138"/>
        <v>34</v>
      </c>
      <c r="J202" s="11" t="str">
        <f t="shared" si="139"/>
        <v>Creditor</v>
      </c>
      <c r="K202" s="11" t="str">
        <f>"CS000716"</f>
        <v>CS000716</v>
      </c>
      <c r="L202" s="10" t="str">
        <f>"Heart of England Newspapers"</f>
        <v>Heart of England Newspapers</v>
      </c>
      <c r="M202" s="12" t="str">
        <f>"11/01/2017 00:00:00"</f>
        <v>11/01/2017 00:00:00</v>
      </c>
      <c r="N202" s="12">
        <v>42746</v>
      </c>
      <c r="O202" s="10" t="str">
        <f>"C007339"</f>
        <v>C007339</v>
      </c>
      <c r="P202" s="13">
        <v>699.5</v>
      </c>
      <c r="Q202" s="11" t="str">
        <f>"699.5000"</f>
        <v>699.5000</v>
      </c>
      <c r="R202" s="10" t="str">
        <f>"C0004349"</f>
        <v>C0004349</v>
      </c>
      <c r="S202" s="14" t="str">
        <f>"839.4000"</f>
        <v>839.4000</v>
      </c>
      <c r="T202" s="10">
        <v>29110</v>
      </c>
      <c r="U202" s="10">
        <v>1487</v>
      </c>
      <c r="V202" s="10" t="str">
        <f>"Services"</f>
        <v>Services</v>
      </c>
      <c r="W202" s="10" t="str">
        <f>"Supplies and Services"</f>
        <v>Supplies and Services</v>
      </c>
      <c r="X202" s="10" t="str">
        <f>VLOOKUP(U202,'[1]Account code lookup'!A:B,2,0)</f>
        <v>Advertising</v>
      </c>
      <c r="Z202" s="10" t="str">
        <f>"Development Management"</f>
        <v>Development Management</v>
      </c>
      <c r="AA202" s="10" t="str">
        <f>"Strategy and Commissioning"</f>
        <v>Strategy and Commissioning</v>
      </c>
      <c r="AB202" s="10" t="str">
        <f>"4sac"</f>
        <v>4sac</v>
      </c>
      <c r="AD202" s="10" t="str">
        <f>"sac02"</f>
        <v>sac02</v>
      </c>
      <c r="AE202" s="10" t="str">
        <f>"Finance &amp; Procurement / Head of Finance &amp; Procurement"</f>
        <v>Finance &amp; Procurement / Head of Finance &amp; Procurement</v>
      </c>
      <c r="AG202" s="10" t="str">
        <f>"29110/1487"</f>
        <v>29110/1487</v>
      </c>
      <c r="AI202" s="10" t="str">
        <f>"14suse"</f>
        <v>14suse</v>
      </c>
      <c r="AJ202" s="15" t="str">
        <f>"Weekly Planning List -  14 December 2016"</f>
        <v>Weekly Planning List -  14 December 2016</v>
      </c>
      <c r="AK202" s="10" t="str">
        <f>"Revenue"</f>
        <v>Revenue</v>
      </c>
      <c r="AL202" s="10" t="str">
        <f>""</f>
        <v/>
      </c>
      <c r="AM202" s="10" t="str">
        <f>""</f>
        <v/>
      </c>
      <c r="AN202" s="10" t="str">
        <f>""</f>
        <v/>
      </c>
      <c r="AO202" s="10" t="str">
        <f>""</f>
        <v/>
      </c>
    </row>
    <row r="203" spans="1:41" s="10" customFormat="1" ht="409.6">
      <c r="A203" s="9"/>
      <c r="B203" s="9"/>
      <c r="C203" s="9"/>
      <c r="D203" s="10" t="str">
        <f>"32689"</f>
        <v>32689</v>
      </c>
      <c r="E203" s="11" t="str">
        <f>""</f>
        <v/>
      </c>
      <c r="F203" s="11" t="str">
        <f t="shared" si="135"/>
        <v>372418</v>
      </c>
      <c r="G203" s="11" t="str">
        <f t="shared" si="136"/>
        <v>2017toJAN</v>
      </c>
      <c r="H203" s="11" t="str">
        <f t="shared" si="137"/>
        <v>CRSP06B</v>
      </c>
      <c r="I203" s="11" t="str">
        <f t="shared" si="138"/>
        <v>34</v>
      </c>
      <c r="J203" s="11" t="str">
        <f t="shared" si="139"/>
        <v>Creditor</v>
      </c>
      <c r="K203" s="11" t="str">
        <f>"CS000716"</f>
        <v>CS000716</v>
      </c>
      <c r="L203" s="10" t="str">
        <f>"Heart of England Newspapers"</f>
        <v>Heart of England Newspapers</v>
      </c>
      <c r="M203" s="12" t="str">
        <f>"18/01/2017 00:00:00"</f>
        <v>18/01/2017 00:00:00</v>
      </c>
      <c r="N203" s="12">
        <v>42753</v>
      </c>
      <c r="O203" s="10" t="str">
        <f>"C007848"</f>
        <v>C007848</v>
      </c>
      <c r="P203" s="13">
        <v>643.54</v>
      </c>
      <c r="Q203" s="11" t="str">
        <f>"643.5400"</f>
        <v>643.5400</v>
      </c>
      <c r="R203" s="10" t="str">
        <f>"C0004468"</f>
        <v>C0004468</v>
      </c>
      <c r="S203" s="14" t="str">
        <f>"772.2500"</f>
        <v>772.2500</v>
      </c>
      <c r="T203" s="10">
        <v>21754</v>
      </c>
      <c r="U203" s="10">
        <v>1487</v>
      </c>
      <c r="V203" s="10" t="str">
        <f>"Services"</f>
        <v>Services</v>
      </c>
      <c r="W203" s="10" t="str">
        <f>"Supplies and Services"</f>
        <v>Supplies and Services</v>
      </c>
      <c r="X203" s="10" t="str">
        <f>VLOOKUP(U203,'[1]Account code lookup'!A:B,2,0)</f>
        <v>Advertising</v>
      </c>
      <c r="Z203" s="10" t="str">
        <f>"Law and Governance"</f>
        <v>Law and Governance</v>
      </c>
      <c r="AA203" s="10" t="str">
        <f>"Strategy and Commissioning"</f>
        <v>Strategy and Commissioning</v>
      </c>
      <c r="AB203" s="10" t="str">
        <f>"4sac"</f>
        <v>4sac</v>
      </c>
      <c r="AD203" s="10" t="str">
        <f>"sac07"</f>
        <v>sac07</v>
      </c>
      <c r="AE203" s="10" t="str">
        <f>"Law &amp; Governance / Legal"</f>
        <v>Law &amp; Governance / Legal</v>
      </c>
      <c r="AG203" s="10" t="str">
        <f>"21754/1487"</f>
        <v>21754/1487</v>
      </c>
      <c r="AI203" s="10" t="str">
        <f>"14suse"</f>
        <v>14suse</v>
      </c>
      <c r="AJ203" s="15" t="str">
        <f>"Please insert the Notice of making of a Public Path order for Banbury Footpath No.58 (Part) Diversion Order 2016 in the Public Notices section of the Banbury Guardian on Thursday 22 December 2016._x000D_
ref: JH"</f>
        <v>Please insert the Notice of making of a Public Path order for Banbury Footpath No.58 (Part) Diversion Order 2016 in the Public Notices section of the Banbury Guardian on Thursday 22 December 2016._x000D_
ref: JH</v>
      </c>
      <c r="AK203" s="10" t="str">
        <f>"Revenue"</f>
        <v>Revenue</v>
      </c>
      <c r="AL203" s="10" t="str">
        <f>""</f>
        <v/>
      </c>
      <c r="AM203" s="10" t="str">
        <f>""</f>
        <v/>
      </c>
      <c r="AN203" s="10" t="str">
        <f>""</f>
        <v/>
      </c>
      <c r="AO203" s="10" t="str">
        <f>""</f>
        <v/>
      </c>
    </row>
    <row r="204" spans="1:41" s="10" customFormat="1" ht="409.6">
      <c r="A204" s="9"/>
      <c r="B204" s="9"/>
      <c r="C204" s="9"/>
      <c r="D204" s="10" t="str">
        <f>"32690"</f>
        <v>32690</v>
      </c>
      <c r="E204" s="11" t="str">
        <f>""</f>
        <v/>
      </c>
      <c r="F204" s="11" t="str">
        <f t="shared" si="135"/>
        <v>372418</v>
      </c>
      <c r="G204" s="11" t="str">
        <f t="shared" si="136"/>
        <v>2017toJAN</v>
      </c>
      <c r="H204" s="11" t="str">
        <f t="shared" si="137"/>
        <v>CRSP06B</v>
      </c>
      <c r="I204" s="11" t="str">
        <f t="shared" si="138"/>
        <v>34</v>
      </c>
      <c r="J204" s="11" t="str">
        <f t="shared" si="139"/>
        <v>Creditor</v>
      </c>
      <c r="K204" s="11" t="str">
        <f>"CS000716"</f>
        <v>CS000716</v>
      </c>
      <c r="L204" s="10" t="str">
        <f>"Heart of England Newspapers"</f>
        <v>Heart of England Newspapers</v>
      </c>
      <c r="M204" s="12" t="str">
        <f>"27/01/2017 00:00:00"</f>
        <v>27/01/2017 00:00:00</v>
      </c>
      <c r="N204" s="12">
        <v>42762</v>
      </c>
      <c r="O204" s="10" t="str">
        <f>"C008178"</f>
        <v>C008178</v>
      </c>
      <c r="P204" s="13">
        <v>559.6</v>
      </c>
      <c r="Q204" s="11" t="str">
        <f>"559.6000"</f>
        <v>559.6000</v>
      </c>
      <c r="R204" s="10" t="str">
        <f>"C0004588"</f>
        <v>C0004588</v>
      </c>
      <c r="S204" s="14" t="str">
        <f>"671.5200"</f>
        <v>671.5200</v>
      </c>
      <c r="T204" s="10">
        <v>29110</v>
      </c>
      <c r="U204" s="10">
        <v>1487</v>
      </c>
      <c r="V204" s="10" t="str">
        <f>"Services"</f>
        <v>Services</v>
      </c>
      <c r="W204" s="10" t="str">
        <f>"Supplies and Services"</f>
        <v>Supplies and Services</v>
      </c>
      <c r="X204" s="10" t="str">
        <f>VLOOKUP(U204,'[1]Account code lookup'!A:B,2,0)</f>
        <v>Advertising</v>
      </c>
      <c r="Z204" s="10" t="str">
        <f>"Development Management"</f>
        <v>Development Management</v>
      </c>
      <c r="AA204" s="10" t="str">
        <f>"Strategy and Commissioning"</f>
        <v>Strategy and Commissioning</v>
      </c>
      <c r="AB204" s="10" t="str">
        <f>"4sac"</f>
        <v>4sac</v>
      </c>
      <c r="AD204" s="10" t="str">
        <f>"sac02"</f>
        <v>sac02</v>
      </c>
      <c r="AE204" s="10" t="str">
        <f>"Finance &amp; Procurement / Head of Finance &amp; Procurement"</f>
        <v>Finance &amp; Procurement / Head of Finance &amp; Procurement</v>
      </c>
      <c r="AG204" s="10" t="str">
        <f>"29110/1487"</f>
        <v>29110/1487</v>
      </c>
      <c r="AI204" s="10" t="str">
        <f>"14suse"</f>
        <v>14suse</v>
      </c>
      <c r="AJ204" s="15" t="str">
        <f>"Weekly planning list - 22 December 2016"</f>
        <v>Weekly planning list - 22 December 2016</v>
      </c>
      <c r="AK204" s="10" t="str">
        <f>"Revenue"</f>
        <v>Revenue</v>
      </c>
      <c r="AL204" s="10" t="str">
        <f>""</f>
        <v/>
      </c>
      <c r="AM204" s="10" t="str">
        <f>""</f>
        <v/>
      </c>
      <c r="AN204" s="10" t="str">
        <f>""</f>
        <v/>
      </c>
      <c r="AO204" s="10" t="str">
        <f>""</f>
        <v/>
      </c>
    </row>
    <row r="205" spans="1:41" s="10" customFormat="1" ht="409.6">
      <c r="A205" s="9"/>
      <c r="B205" s="9"/>
      <c r="C205" s="9"/>
      <c r="D205" s="10" t="str">
        <f>"32691"</f>
        <v>32691</v>
      </c>
      <c r="E205" s="11" t="str">
        <f>""</f>
        <v/>
      </c>
      <c r="F205" s="11" t="str">
        <f t="shared" si="135"/>
        <v>372418</v>
      </c>
      <c r="G205" s="11" t="str">
        <f t="shared" si="136"/>
        <v>2017toJAN</v>
      </c>
      <c r="H205" s="11" t="str">
        <f t="shared" si="137"/>
        <v>CRSP06B</v>
      </c>
      <c r="I205" s="11" t="str">
        <f t="shared" si="138"/>
        <v>34</v>
      </c>
      <c r="J205" s="11" t="str">
        <f t="shared" si="139"/>
        <v>Creditor</v>
      </c>
      <c r="K205" s="11" t="str">
        <f>"CS002519"</f>
        <v>CS002519</v>
      </c>
      <c r="L205" s="10" t="str">
        <f>"Hewer Facilities Management"</f>
        <v>Hewer Facilities Management</v>
      </c>
      <c r="M205" s="12" t="str">
        <f>"06/01/2017 00:00:00"</f>
        <v>06/01/2017 00:00:00</v>
      </c>
      <c r="N205" s="12">
        <v>42741</v>
      </c>
      <c r="O205" s="10" t="str">
        <f>"C006792"</f>
        <v>C006792</v>
      </c>
      <c r="P205" s="13">
        <v>57943.78</v>
      </c>
      <c r="Q205" s="11" t="str">
        <f>"57943.7800"</f>
        <v>57943.7800</v>
      </c>
      <c r="R205" s="10" t="str">
        <f>"C0004314"</f>
        <v>C0004314</v>
      </c>
      <c r="S205" s="14" t="str">
        <f>"69532.5400"</f>
        <v>69532.5400</v>
      </c>
      <c r="T205" s="10">
        <v>40108</v>
      </c>
      <c r="U205" s="10">
        <v>4100</v>
      </c>
      <c r="V205" s="10" t="str">
        <f>"Capital Works"</f>
        <v>Capital Works</v>
      </c>
      <c r="W205" s="10" t="str">
        <f>"Capital Works"</f>
        <v>Capital Works</v>
      </c>
      <c r="X205" s="10" t="str">
        <f>VLOOKUP(U205,'[1]Account code lookup'!A:B,2,0)</f>
        <v>Contractors Capital Payments</v>
      </c>
      <c r="Z205" s="10" t="str">
        <f>"Capital Regen and Housing"</f>
        <v>Capital Regen and Housing</v>
      </c>
      <c r="AA205" s="10" t="str">
        <f>"Commercial Development Capital"</f>
        <v>Commercial Development Capital</v>
      </c>
      <c r="AB205" s="10" t="str">
        <f>"c2cdb"</f>
        <v>c2cdb</v>
      </c>
      <c r="AD205" s="10" t="str">
        <f>"ccdb02"</f>
        <v>ccdb02</v>
      </c>
      <c r="AE205" s="10" t="str">
        <f>"Regeneration &amp; Housing / Delivery Team"</f>
        <v>Regeneration &amp; Housing / Delivery Team</v>
      </c>
      <c r="AG205" s="10" t="str">
        <f>"40108/4100"</f>
        <v>40108/4100</v>
      </c>
      <c r="AI205" s="10" t="str">
        <f>"41cwrk"</f>
        <v>41cwrk</v>
      </c>
      <c r="AJ205" s="15" t="str">
        <f>"Mechanical and electrical work &amp; demolition Banbury Ambulance Station"</f>
        <v>Mechanical and electrical work &amp; demolition Banbury Ambulance Station</v>
      </c>
      <c r="AK205" s="10" t="str">
        <f>"Capital"</f>
        <v>Capital</v>
      </c>
      <c r="AL205" s="10" t="str">
        <f>""</f>
        <v/>
      </c>
      <c r="AM205" s="10" t="str">
        <f>""</f>
        <v/>
      </c>
      <c r="AN205" s="10" t="str">
        <f>""</f>
        <v/>
      </c>
      <c r="AO205" s="10" t="str">
        <f>""</f>
        <v/>
      </c>
    </row>
    <row r="206" spans="1:41" s="10" customFormat="1" ht="409.6">
      <c r="A206" s="9"/>
      <c r="B206" s="9"/>
      <c r="C206" s="9"/>
      <c r="D206" s="10" t="str">
        <f>"32692"</f>
        <v>32692</v>
      </c>
      <c r="E206" s="11" t="str">
        <f>""</f>
        <v/>
      </c>
      <c r="F206" s="11" t="str">
        <f t="shared" si="135"/>
        <v>372418</v>
      </c>
      <c r="G206" s="11" t="str">
        <f t="shared" si="136"/>
        <v>2017toJAN</v>
      </c>
      <c r="H206" s="11" t="str">
        <f t="shared" si="137"/>
        <v>CRSP06B</v>
      </c>
      <c r="I206" s="11" t="str">
        <f t="shared" si="138"/>
        <v>34</v>
      </c>
      <c r="J206" s="11" t="str">
        <f t="shared" si="139"/>
        <v>Creditor</v>
      </c>
      <c r="K206" s="11" t="str">
        <f>"CS002519"</f>
        <v>CS002519</v>
      </c>
      <c r="L206" s="10" t="str">
        <f>"Hewer Facilities Management"</f>
        <v>Hewer Facilities Management</v>
      </c>
      <c r="M206" s="12" t="str">
        <f>"11/01/2017 00:00:00"</f>
        <v>11/01/2017 00:00:00</v>
      </c>
      <c r="N206" s="12">
        <v>42746</v>
      </c>
      <c r="O206" s="10" t="str">
        <f>"C007701"</f>
        <v>C007701</v>
      </c>
      <c r="P206" s="13">
        <v>16079.21</v>
      </c>
      <c r="Q206" s="11" t="str">
        <f>"16079.2100"</f>
        <v>16079.2100</v>
      </c>
      <c r="R206" s="10" t="str">
        <f>"C0004379"</f>
        <v>C0004379</v>
      </c>
      <c r="S206" s="14" t="str">
        <f>"19295.0500"</f>
        <v>19295.0500</v>
      </c>
      <c r="T206" s="10">
        <v>40108</v>
      </c>
      <c r="U206" s="10">
        <v>4100</v>
      </c>
      <c r="V206" s="10" t="str">
        <f>"Capital Works"</f>
        <v>Capital Works</v>
      </c>
      <c r="W206" s="10" t="str">
        <f>"Capital Works"</f>
        <v>Capital Works</v>
      </c>
      <c r="X206" s="10" t="str">
        <f>VLOOKUP(U206,'[1]Account code lookup'!A:B,2,0)</f>
        <v>Contractors Capital Payments</v>
      </c>
      <c r="Z206" s="10" t="str">
        <f>"Capital Regen and Housing"</f>
        <v>Capital Regen and Housing</v>
      </c>
      <c r="AA206" s="10" t="str">
        <f>"Commercial Development Capital"</f>
        <v>Commercial Development Capital</v>
      </c>
      <c r="AB206" s="10" t="str">
        <f>"c2cdb"</f>
        <v>c2cdb</v>
      </c>
      <c r="AD206" s="10" t="str">
        <f>"ccdb02"</f>
        <v>ccdb02</v>
      </c>
      <c r="AE206" s="10" t="str">
        <f>"Regeneration &amp; Housing / Delivery Team"</f>
        <v>Regeneration &amp; Housing / Delivery Team</v>
      </c>
      <c r="AG206" s="10" t="str">
        <f>"40108/4100"</f>
        <v>40108/4100</v>
      </c>
      <c r="AI206" s="10" t="str">
        <f>"41cwrk"</f>
        <v>41cwrk</v>
      </c>
      <c r="AJ206" s="15" t="str">
        <f>"Mechanical and electrical work &amp; demolition Banbury Ambulance Station"</f>
        <v>Mechanical and electrical work &amp; demolition Banbury Ambulance Station</v>
      </c>
      <c r="AK206" s="10" t="str">
        <f>"Capital"</f>
        <v>Capital</v>
      </c>
      <c r="AL206" s="10" t="str">
        <f>""</f>
        <v/>
      </c>
      <c r="AM206" s="10" t="str">
        <f>""</f>
        <v/>
      </c>
      <c r="AN206" s="10" t="str">
        <f>""</f>
        <v/>
      </c>
      <c r="AO206" s="10" t="str">
        <f>""</f>
        <v/>
      </c>
    </row>
    <row r="207" spans="1:41" s="10" customFormat="1" ht="409.6">
      <c r="A207" s="9"/>
      <c r="B207" s="9"/>
      <c r="C207" s="9"/>
      <c r="D207" s="10" t="str">
        <f>"32693"</f>
        <v>32693</v>
      </c>
      <c r="E207" s="11" t="str">
        <f>""</f>
        <v/>
      </c>
      <c r="F207" s="11" t="str">
        <f t="shared" si="135"/>
        <v>372418</v>
      </c>
      <c r="G207" s="11" t="str">
        <f t="shared" si="136"/>
        <v>2017toJAN</v>
      </c>
      <c r="H207" s="11" t="str">
        <f t="shared" si="137"/>
        <v>CRSP06B</v>
      </c>
      <c r="I207" s="11" t="str">
        <f t="shared" si="138"/>
        <v>34</v>
      </c>
      <c r="J207" s="11" t="str">
        <f t="shared" si="139"/>
        <v>Creditor</v>
      </c>
      <c r="K207" s="11" t="str">
        <f>"CS000211"</f>
        <v>CS000211</v>
      </c>
      <c r="L207" s="10" t="str">
        <f>"HFHGB (Homes)"</f>
        <v>HFHGB (Homes)</v>
      </c>
      <c r="M207" s="12" t="str">
        <f>"18/01/2017 00:00:00"</f>
        <v>18/01/2017 00:00:00</v>
      </c>
      <c r="N207" s="12">
        <v>42753</v>
      </c>
      <c r="O207" s="10" t="str">
        <f>"C007796"</f>
        <v>C007796</v>
      </c>
      <c r="P207" s="13">
        <v>32075.51</v>
      </c>
      <c r="Q207" s="11" t="str">
        <f>"32075.5100"</f>
        <v>32075.5100</v>
      </c>
      <c r="R207" s="10" t="str">
        <f>"C0004456"</f>
        <v>C0004456</v>
      </c>
      <c r="S207" s="14" t="str">
        <f>"32075.5100"</f>
        <v>32075.5100</v>
      </c>
      <c r="T207" s="10">
        <v>28307</v>
      </c>
      <c r="U207" s="10">
        <v>1721</v>
      </c>
      <c r="V207" s="10" t="str">
        <f>"Private Contractors"</f>
        <v>Private Contractors</v>
      </c>
      <c r="W207" s="10" t="str">
        <f>"Third Party Payments"</f>
        <v>Third Party Payments</v>
      </c>
      <c r="X207" s="10" t="str">
        <f>VLOOKUP(U207,'[1]Account code lookup'!A:B,2,0)</f>
        <v>Management Fees</v>
      </c>
      <c r="Z207" s="10" t="str">
        <f>"Regeneration and Housing"</f>
        <v>Regeneration and Housing</v>
      </c>
      <c r="AA207" s="10" t="str">
        <f>"Commercial Development"</f>
        <v>Commercial Development</v>
      </c>
      <c r="AB207" s="10" t="str">
        <f>"2cdb"</f>
        <v>2cdb</v>
      </c>
      <c r="AD207" s="10" t="str">
        <f>"cdb02"</f>
        <v>cdb02</v>
      </c>
      <c r="AE207" s="10" t="str">
        <f>"Regeneration &amp; Housing / Delivery Team"</f>
        <v>Regeneration &amp; Housing / Delivery Team</v>
      </c>
      <c r="AG207" s="10" t="str">
        <f>"28307/1721"</f>
        <v>28307/1721</v>
      </c>
      <c r="AI207" s="10" t="str">
        <f>"17tpp"</f>
        <v>17tpp</v>
      </c>
      <c r="AJ207" s="15" t="str">
        <f>""</f>
        <v/>
      </c>
      <c r="AK207" s="10" t="str">
        <f t="shared" ref="AK207:AK217" si="146">"Revenue"</f>
        <v>Revenue</v>
      </c>
      <c r="AL207" s="10" t="str">
        <f>""</f>
        <v/>
      </c>
      <c r="AM207" s="10" t="str">
        <f>""</f>
        <v/>
      </c>
      <c r="AN207" s="10" t="str">
        <f>""</f>
        <v/>
      </c>
      <c r="AO207" s="10" t="str">
        <f>""</f>
        <v/>
      </c>
    </row>
    <row r="208" spans="1:41" s="10" customFormat="1" ht="409.6">
      <c r="A208" s="9"/>
      <c r="B208" s="9"/>
      <c r="C208" s="9"/>
      <c r="D208" s="10" t="str">
        <f>"32694"</f>
        <v>32694</v>
      </c>
      <c r="E208" s="11" t="str">
        <f>""</f>
        <v/>
      </c>
      <c r="F208" s="11" t="str">
        <f t="shared" si="135"/>
        <v>372418</v>
      </c>
      <c r="G208" s="11" t="str">
        <f t="shared" si="136"/>
        <v>2017toJAN</v>
      </c>
      <c r="H208" s="11" t="str">
        <f t="shared" si="137"/>
        <v>CRSP06B</v>
      </c>
      <c r="I208" s="11" t="str">
        <f t="shared" si="138"/>
        <v>34</v>
      </c>
      <c r="J208" s="11" t="str">
        <f t="shared" si="139"/>
        <v>Creditor</v>
      </c>
      <c r="K208" s="11" t="str">
        <f>"CS000212"</f>
        <v>CS000212</v>
      </c>
      <c r="L208" s="10" t="str">
        <f>"HFX Limited"</f>
        <v>HFX Limited</v>
      </c>
      <c r="M208" s="12" t="str">
        <f>"06/01/2017 00:00:00"</f>
        <v>06/01/2017 00:00:00</v>
      </c>
      <c r="N208" s="12">
        <v>42741</v>
      </c>
      <c r="O208" s="10" t="str">
        <f>"C007386"</f>
        <v>C007386</v>
      </c>
      <c r="P208" s="13">
        <v>474.43</v>
      </c>
      <c r="Q208" s="11" t="str">
        <f>"474.4300"</f>
        <v>474.4300</v>
      </c>
      <c r="R208" s="10" t="str">
        <f>"C0004284"</f>
        <v>C0004284</v>
      </c>
      <c r="S208" s="14" t="str">
        <f>"569.3200"</f>
        <v>569.3200</v>
      </c>
      <c r="T208" s="10">
        <v>31013</v>
      </c>
      <c r="U208" s="10">
        <v>1200</v>
      </c>
      <c r="V208" s="10" t="str">
        <f>"Repairs &amp; Maintenance"</f>
        <v>Repairs &amp; Maintenance</v>
      </c>
      <c r="W208" s="10" t="str">
        <f>"Premises Related Expenditure"</f>
        <v>Premises Related Expenditure</v>
      </c>
      <c r="X208" s="10" t="str">
        <f>VLOOKUP(U208,'[1]Account code lookup'!A:B,2,0)</f>
        <v>Repair &amp; Maintenance</v>
      </c>
      <c r="Z208" s="10" t="str">
        <f>"Regeneration and Housing"</f>
        <v>Regeneration and Housing</v>
      </c>
      <c r="AA208" s="10" t="str">
        <f>"Commercial Development"</f>
        <v>Commercial Development</v>
      </c>
      <c r="AB208" s="10" t="str">
        <f>"2cdb"</f>
        <v>2cdb</v>
      </c>
      <c r="AD208" s="10" t="str">
        <f>"cdb02"</f>
        <v>cdb02</v>
      </c>
      <c r="AE208" s="10" t="str">
        <f t="shared" ref="AE208" si="147">"Finance &amp; Procurement / Finance"</f>
        <v>Finance &amp; Procurement / Finance</v>
      </c>
      <c r="AG208" s="10" t="str">
        <f>"31013/1200"</f>
        <v>31013/1200</v>
      </c>
      <c r="AI208" s="10" t="str">
        <f>"12prem"</f>
        <v>12prem</v>
      </c>
      <c r="AJ208" s="15" t="str">
        <f>"FRANKLINS HOUSEThe works to be carried out are to repair a maglock unit on an internal door within the CDC demise that was damaged when a Thames Security Patrol Officer forced the door."</f>
        <v>FRANKLINS HOUSEThe works to be carried out are to repair a maglock unit on an internal door within the CDC demise that was damaged when a Thames Security Patrol Officer forced the door.</v>
      </c>
      <c r="AK208" s="10" t="str">
        <f t="shared" si="146"/>
        <v>Revenue</v>
      </c>
      <c r="AL208" s="10" t="str">
        <f>""</f>
        <v/>
      </c>
      <c r="AM208" s="10" t="str">
        <f>""</f>
        <v/>
      </c>
      <c r="AN208" s="10" t="str">
        <f>""</f>
        <v/>
      </c>
      <c r="AO208" s="10" t="str">
        <f>""</f>
        <v/>
      </c>
    </row>
    <row r="209" spans="1:41" s="10" customFormat="1" ht="409.6">
      <c r="A209" s="9"/>
      <c r="B209" s="9"/>
      <c r="C209" s="9"/>
      <c r="D209" s="10" t="str">
        <f>"33428"</f>
        <v>33428</v>
      </c>
      <c r="E209" s="11" t="str">
        <f>""</f>
        <v/>
      </c>
      <c r="F209" s="11" t="str">
        <f t="shared" si="135"/>
        <v>372418</v>
      </c>
      <c r="G209" s="11" t="str">
        <f t="shared" si="136"/>
        <v>2017toJAN</v>
      </c>
      <c r="H209" s="11" t="str">
        <f t="shared" si="137"/>
        <v>CRSP06B</v>
      </c>
      <c r="I209" s="11" t="str">
        <f t="shared" si="138"/>
        <v>34</v>
      </c>
      <c r="J209" s="11" t="str">
        <f t="shared" si="139"/>
        <v>Creditor</v>
      </c>
      <c r="K209" s="11" t="str">
        <f>"CS002990"</f>
        <v>CS002990</v>
      </c>
      <c r="L209" s="10" t="str">
        <f>"Impact Signs Solutions Limited"</f>
        <v>Impact Signs Solutions Limited</v>
      </c>
      <c r="M209" s="12" t="str">
        <f>"10/01/2017 00:00:00"</f>
        <v>10/01/2017 00:00:00</v>
      </c>
      <c r="N209" s="12">
        <v>42745</v>
      </c>
      <c r="O209" s="10" t="str">
        <f>"C007495"</f>
        <v>C007495</v>
      </c>
      <c r="P209" s="13">
        <v>611.03</v>
      </c>
      <c r="Q209" s="11" t="str">
        <f>"611.0300"</f>
        <v>611.0300</v>
      </c>
      <c r="R209" s="10" t="str">
        <f>"059227"</f>
        <v>059227</v>
      </c>
      <c r="S209" s="14" t="str">
        <f>"733.2400"</f>
        <v>733.2400</v>
      </c>
      <c r="T209" s="10">
        <v>29230</v>
      </c>
      <c r="U209" s="10">
        <v>1493</v>
      </c>
      <c r="V209" s="10" t="str">
        <f>"Services"</f>
        <v>Services</v>
      </c>
      <c r="W209" s="10" t="str">
        <f>"Supplies and Services"</f>
        <v>Supplies and Services</v>
      </c>
      <c r="X209" s="10" t="str">
        <f>VLOOKUP(U209,'[1]Account code lookup'!A:B,2,0)</f>
        <v>Promotion Equipment</v>
      </c>
      <c r="Z209" s="10" t="str">
        <f>"Bicester Regeneration Projects"</f>
        <v>Bicester Regeneration Projects</v>
      </c>
      <c r="AA209" s="10" t="str">
        <f>"Commercial Development"</f>
        <v>Commercial Development</v>
      </c>
      <c r="AB209" s="10" t="str">
        <f>"2cdb"</f>
        <v>2cdb</v>
      </c>
      <c r="AD209" s="10" t="str">
        <f>"cdb01"</f>
        <v>cdb01</v>
      </c>
      <c r="AE209" s="10" t="str">
        <f>"Finance &amp; Procurement / Head of Finance &amp; Procurement"</f>
        <v>Finance &amp; Procurement / Head of Finance &amp; Procurement</v>
      </c>
      <c r="AG209" s="10" t="str">
        <f>"29230/1493"</f>
        <v>29230/1493</v>
      </c>
      <c r="AI209" s="10" t="str">
        <f>"14suse"</f>
        <v>14suse</v>
      </c>
      <c r="AJ209" s="15" t="str">
        <f>"Window graphics as per quotation to Leslie Goodman dated:17/11/16 ref no:Q32543/3"</f>
        <v>Window graphics as per quotation to Leslie Goodman dated:17/11/16 ref no:Q32543/3</v>
      </c>
      <c r="AK209" s="10" t="str">
        <f t="shared" si="146"/>
        <v>Revenue</v>
      </c>
      <c r="AL209" s="10" t="str">
        <f>""</f>
        <v/>
      </c>
      <c r="AM209" s="10" t="str">
        <f>""</f>
        <v/>
      </c>
      <c r="AN209" s="10" t="str">
        <f>""</f>
        <v/>
      </c>
      <c r="AO209" s="10" t="str">
        <f>""</f>
        <v/>
      </c>
    </row>
    <row r="210" spans="1:41" s="10" customFormat="1" ht="409.6">
      <c r="A210" s="9"/>
      <c r="B210" s="9"/>
      <c r="C210" s="9"/>
      <c r="D210" s="10" t="str">
        <f>"34496"</f>
        <v>34496</v>
      </c>
      <c r="E210" s="11" t="str">
        <f>""</f>
        <v/>
      </c>
      <c r="F210" s="11" t="str">
        <f t="shared" si="135"/>
        <v>372418</v>
      </c>
      <c r="G210" s="11" t="str">
        <f t="shared" si="136"/>
        <v>2017toJAN</v>
      </c>
      <c r="H210" s="11" t="str">
        <f t="shared" si="137"/>
        <v>CRSP06B</v>
      </c>
      <c r="I210" s="11" t="str">
        <f t="shared" si="138"/>
        <v>34</v>
      </c>
      <c r="J210" s="11" t="str">
        <f t="shared" si="139"/>
        <v>Creditor</v>
      </c>
      <c r="K210" s="11" t="str">
        <f>"CS002729"</f>
        <v>CS002729</v>
      </c>
      <c r="L210" s="10" t="str">
        <f>"Independent Contractor Services Ltd"</f>
        <v>Independent Contractor Services Ltd</v>
      </c>
      <c r="M210" s="12" t="str">
        <f>"11/01/2017 00:00:00"</f>
        <v>11/01/2017 00:00:00</v>
      </c>
      <c r="N210" s="12">
        <v>42746</v>
      </c>
      <c r="O210" s="10" t="str">
        <f>"C007768"</f>
        <v>C007768</v>
      </c>
      <c r="P210" s="13">
        <v>1000</v>
      </c>
      <c r="Q210" s="11" t="str">
        <f>"1000.0000"</f>
        <v>1000.0000</v>
      </c>
      <c r="R210" s="10" t="str">
        <f>"C0004381"</f>
        <v>C0004381</v>
      </c>
      <c r="S210" s="14" t="str">
        <f>"1200.0000"</f>
        <v>1200.0000</v>
      </c>
      <c r="T210" s="10">
        <v>21747</v>
      </c>
      <c r="U210" s="10">
        <v>1136</v>
      </c>
      <c r="V210" s="10" t="str">
        <f>"Direct employee exps and bens"</f>
        <v>Direct employee exps and bens</v>
      </c>
      <c r="W210" s="10" t="str">
        <f>"Employees"</f>
        <v>Employees</v>
      </c>
      <c r="X210" s="10" t="str">
        <f>VLOOKUP(U210,'[1]Account code lookup'!A:B,2,0)</f>
        <v>Agency Staff</v>
      </c>
      <c r="Z210" s="10" t="str">
        <f>"Finance and Procurement"</f>
        <v>Finance and Procurement</v>
      </c>
      <c r="AA210" s="10" t="str">
        <f>"Chief Finance Officer"</f>
        <v>Chief Finance Officer</v>
      </c>
      <c r="AB210" s="10" t="str">
        <f>"3cfo"</f>
        <v>3cfo</v>
      </c>
      <c r="AD210" s="10" t="str">
        <f>"cfo02"</f>
        <v>cfo02</v>
      </c>
      <c r="AE210" s="10" t="str">
        <f>"Finance &amp; Procurement / Head of Finance &amp; Procurement"</f>
        <v>Finance &amp; Procurement / Head of Finance &amp; Procurement</v>
      </c>
      <c r="AG210" s="10" t="str">
        <f>"21747/1136"</f>
        <v>21747/1136</v>
      </c>
      <c r="AI210" s="10" t="str">
        <f>"11emps"</f>
        <v>11emps</v>
      </c>
      <c r="AJ210" s="15" t="str">
        <f>"Su Copley 130 days"</f>
        <v>Su Copley 130 days</v>
      </c>
      <c r="AK210" s="10" t="str">
        <f t="shared" si="146"/>
        <v>Revenue</v>
      </c>
      <c r="AL210" s="10" t="str">
        <f>""</f>
        <v/>
      </c>
      <c r="AM210" s="10" t="str">
        <f>""</f>
        <v/>
      </c>
      <c r="AN210" s="10" t="str">
        <f>""</f>
        <v/>
      </c>
      <c r="AO210" s="10" t="str">
        <f>""</f>
        <v/>
      </c>
    </row>
    <row r="211" spans="1:41" s="10" customFormat="1" ht="409.6">
      <c r="A211" s="9"/>
      <c r="B211" s="9"/>
      <c r="C211" s="9"/>
      <c r="D211" s="10" t="str">
        <f>"34497"</f>
        <v>34497</v>
      </c>
      <c r="E211" s="11" t="str">
        <f>""</f>
        <v/>
      </c>
      <c r="F211" s="11" t="str">
        <f t="shared" si="135"/>
        <v>372418</v>
      </c>
      <c r="G211" s="11" t="str">
        <f t="shared" si="136"/>
        <v>2017toJAN</v>
      </c>
      <c r="H211" s="11" t="str">
        <f t="shared" si="137"/>
        <v>CRSP06B</v>
      </c>
      <c r="I211" s="11" t="str">
        <f t="shared" si="138"/>
        <v>34</v>
      </c>
      <c r="J211" s="11" t="str">
        <f t="shared" si="139"/>
        <v>Creditor</v>
      </c>
      <c r="K211" s="11" t="str">
        <f>"CS002729"</f>
        <v>CS002729</v>
      </c>
      <c r="L211" s="10" t="str">
        <f>"Independent Contractor Services Ltd"</f>
        <v>Independent Contractor Services Ltd</v>
      </c>
      <c r="M211" s="12" t="str">
        <f>"18/01/2017 00:00:00"</f>
        <v>18/01/2017 00:00:00</v>
      </c>
      <c r="N211" s="12">
        <v>42753</v>
      </c>
      <c r="O211" s="10" t="str">
        <f>"C007932"</f>
        <v>C007932</v>
      </c>
      <c r="P211" s="13">
        <v>1250</v>
      </c>
      <c r="Q211" s="11" t="str">
        <f>"1250.0000"</f>
        <v>1250.0000</v>
      </c>
      <c r="R211" s="10" t="str">
        <f>"C0004488"</f>
        <v>C0004488</v>
      </c>
      <c r="S211" s="14" t="str">
        <f>"1500.0000"</f>
        <v>1500.0000</v>
      </c>
      <c r="T211" s="10">
        <v>21747</v>
      </c>
      <c r="U211" s="10">
        <v>1136</v>
      </c>
      <c r="V211" s="10" t="str">
        <f>"Direct employee exps and bens"</f>
        <v>Direct employee exps and bens</v>
      </c>
      <c r="W211" s="10" t="str">
        <f>"Employees"</f>
        <v>Employees</v>
      </c>
      <c r="X211" s="10" t="str">
        <f>VLOOKUP(U211,'[1]Account code lookup'!A:B,2,0)</f>
        <v>Agency Staff</v>
      </c>
      <c r="Z211" s="10" t="str">
        <f>"Finance and Procurement"</f>
        <v>Finance and Procurement</v>
      </c>
      <c r="AA211" s="10" t="str">
        <f>"Chief Finance Officer"</f>
        <v>Chief Finance Officer</v>
      </c>
      <c r="AB211" s="10" t="str">
        <f>"3cfo"</f>
        <v>3cfo</v>
      </c>
      <c r="AD211" s="10" t="str">
        <f>"cfo02"</f>
        <v>cfo02</v>
      </c>
      <c r="AE211" s="10" t="str">
        <f>"Finance &amp; Procurement / Head of Finance &amp; Procurement"</f>
        <v>Finance &amp; Procurement / Head of Finance &amp; Procurement</v>
      </c>
      <c r="AG211" s="10" t="str">
        <f>"21747/1136"</f>
        <v>21747/1136</v>
      </c>
      <c r="AI211" s="10" t="str">
        <f>"11emps"</f>
        <v>11emps</v>
      </c>
      <c r="AJ211" s="15" t="str">
        <f>"Su Copley 130 days"</f>
        <v>Su Copley 130 days</v>
      </c>
      <c r="AK211" s="10" t="str">
        <f t="shared" si="146"/>
        <v>Revenue</v>
      </c>
      <c r="AL211" s="10" t="str">
        <f>""</f>
        <v/>
      </c>
      <c r="AM211" s="10" t="str">
        <f>""</f>
        <v/>
      </c>
      <c r="AN211" s="10" t="str">
        <f>""</f>
        <v/>
      </c>
      <c r="AO211" s="10" t="str">
        <f>""</f>
        <v/>
      </c>
    </row>
    <row r="212" spans="1:41" s="10" customFormat="1" ht="409.6">
      <c r="A212" s="9"/>
      <c r="B212" s="9"/>
      <c r="C212" s="9"/>
      <c r="D212" s="10" t="str">
        <f>"34498"</f>
        <v>34498</v>
      </c>
      <c r="E212" s="11" t="str">
        <f>""</f>
        <v/>
      </c>
      <c r="F212" s="11" t="str">
        <f t="shared" si="135"/>
        <v>372418</v>
      </c>
      <c r="G212" s="11" t="str">
        <f t="shared" si="136"/>
        <v>2017toJAN</v>
      </c>
      <c r="H212" s="11" t="str">
        <f t="shared" si="137"/>
        <v>CRSP06B</v>
      </c>
      <c r="I212" s="11" t="str">
        <f t="shared" si="138"/>
        <v>34</v>
      </c>
      <c r="J212" s="11" t="str">
        <f t="shared" si="139"/>
        <v>Creditor</v>
      </c>
      <c r="K212" s="11" t="str">
        <f>"CS002729"</f>
        <v>CS002729</v>
      </c>
      <c r="L212" s="10" t="str">
        <f>"Independent Contractor Services Ltd"</f>
        <v>Independent Contractor Services Ltd</v>
      </c>
      <c r="M212" s="12" t="str">
        <f>"25/01/2017 00:00:00"</f>
        <v>25/01/2017 00:00:00</v>
      </c>
      <c r="N212" s="12">
        <v>42760</v>
      </c>
      <c r="O212" s="10" t="str">
        <f>"C008092"</f>
        <v>C008092</v>
      </c>
      <c r="P212" s="13">
        <v>1000</v>
      </c>
      <c r="Q212" s="11" t="str">
        <f>"1000.0000"</f>
        <v>1000.0000</v>
      </c>
      <c r="R212" s="10" t="str">
        <f>"C0004571"</f>
        <v>C0004571</v>
      </c>
      <c r="S212" s="14" t="str">
        <f>"1200.0000"</f>
        <v>1200.0000</v>
      </c>
      <c r="T212" s="10">
        <v>21747</v>
      </c>
      <c r="U212" s="10">
        <v>1136</v>
      </c>
      <c r="V212" s="10" t="str">
        <f>"Direct employee exps and bens"</f>
        <v>Direct employee exps and bens</v>
      </c>
      <c r="W212" s="10" t="str">
        <f>"Employees"</f>
        <v>Employees</v>
      </c>
      <c r="X212" s="10" t="str">
        <f>VLOOKUP(U212,'[1]Account code lookup'!A:B,2,0)</f>
        <v>Agency Staff</v>
      </c>
      <c r="Z212" s="10" t="str">
        <f>"Finance and Procurement"</f>
        <v>Finance and Procurement</v>
      </c>
      <c r="AA212" s="10" t="str">
        <f>"Chief Finance Officer"</f>
        <v>Chief Finance Officer</v>
      </c>
      <c r="AB212" s="10" t="str">
        <f>"3cfo"</f>
        <v>3cfo</v>
      </c>
      <c r="AD212" s="10" t="str">
        <f>"cfo02"</f>
        <v>cfo02</v>
      </c>
      <c r="AE212" s="10" t="str">
        <f>"Finance &amp; Procurement / Head of Finance &amp; Procurement"</f>
        <v>Finance &amp; Procurement / Head of Finance &amp; Procurement</v>
      </c>
      <c r="AG212" s="10" t="str">
        <f>"21747/1136"</f>
        <v>21747/1136</v>
      </c>
      <c r="AI212" s="10" t="str">
        <f>"11emps"</f>
        <v>11emps</v>
      </c>
      <c r="AJ212" s="15" t="str">
        <f>"Su Copley 130 days"</f>
        <v>Su Copley 130 days</v>
      </c>
      <c r="AK212" s="10" t="str">
        <f t="shared" si="146"/>
        <v>Revenue</v>
      </c>
      <c r="AL212" s="10" t="str">
        <f>""</f>
        <v/>
      </c>
      <c r="AM212" s="10" t="str">
        <f>""</f>
        <v/>
      </c>
      <c r="AN212" s="10" t="str">
        <f>""</f>
        <v/>
      </c>
      <c r="AO212" s="10" t="str">
        <f>""</f>
        <v/>
      </c>
    </row>
    <row r="213" spans="1:41" s="10" customFormat="1" ht="409.6">
      <c r="A213" s="9"/>
      <c r="B213" s="9"/>
      <c r="C213" s="9"/>
      <c r="D213" s="10" t="str">
        <f>"34702"</f>
        <v>34702</v>
      </c>
      <c r="E213" s="11" t="str">
        <f>""</f>
        <v/>
      </c>
      <c r="F213" s="11" t="str">
        <f t="shared" si="135"/>
        <v>372418</v>
      </c>
      <c r="G213" s="11" t="str">
        <f t="shared" si="136"/>
        <v>2017toJAN</v>
      </c>
      <c r="H213" s="11" t="str">
        <f t="shared" si="137"/>
        <v>CRSP06B</v>
      </c>
      <c r="I213" s="11" t="str">
        <f t="shared" si="138"/>
        <v>34</v>
      </c>
      <c r="J213" s="11" t="str">
        <f t="shared" si="139"/>
        <v>Creditor</v>
      </c>
      <c r="K213" s="11" t="str">
        <f t="shared" ref="K213:K220" si="148">"CS000738"</f>
        <v>CS000738</v>
      </c>
      <c r="L213" s="10" t="str">
        <f t="shared" ref="L213:L220" si="149">"J Merry"</f>
        <v>J Merry</v>
      </c>
      <c r="M213" s="12" t="str">
        <f t="shared" ref="M213:M218" si="150">"04/01/2017 00:00:00"</f>
        <v>04/01/2017 00:00:00</v>
      </c>
      <c r="N213" s="12">
        <v>42739</v>
      </c>
      <c r="O213" s="10" t="str">
        <f>"C007551"</f>
        <v>C007551</v>
      </c>
      <c r="P213" s="13">
        <v>56</v>
      </c>
      <c r="Q213" s="11" t="str">
        <f>"56.0000"</f>
        <v>56.0000</v>
      </c>
      <c r="R213" s="10" t="str">
        <f t="shared" ref="R213:R218" si="151">"C0004264"</f>
        <v>C0004264</v>
      </c>
      <c r="S213" s="14" t="str">
        <f t="shared" ref="S213:S218" si="152">"583.2400"</f>
        <v>583.2400</v>
      </c>
      <c r="T213" s="10">
        <v>28402</v>
      </c>
      <c r="U213" s="10">
        <v>1765</v>
      </c>
      <c r="V213" s="10" t="str">
        <f>"Professional Fees"</f>
        <v>Professional Fees</v>
      </c>
      <c r="W213" s="10" t="str">
        <f>"Third Party Payments"</f>
        <v>Third Party Payments</v>
      </c>
      <c r="X213" s="10" t="str">
        <f>VLOOKUP(U213,'[1]Account code lookup'!A:B,2,0)</f>
        <v>Consultants Fees</v>
      </c>
      <c r="Z213" s="10" t="str">
        <f>"Regeneration and Housing"</f>
        <v>Regeneration and Housing</v>
      </c>
      <c r="AA213" s="10" t="str">
        <f>"Commercial Development"</f>
        <v>Commercial Development</v>
      </c>
      <c r="AB213" s="10" t="str">
        <f>"2cdb"</f>
        <v>2cdb</v>
      </c>
      <c r="AD213" s="10" t="str">
        <f>"cdb02"</f>
        <v>cdb02</v>
      </c>
      <c r="AE213" s="10" t="str">
        <f t="shared" ref="AE213:AE220" si="153">"Regeneration &amp; Housing / Home Improvement Agency"</f>
        <v>Regeneration &amp; Housing / Home Improvement Agency</v>
      </c>
      <c r="AG213" s="10" t="str">
        <f>"28402/1765"</f>
        <v>28402/1765</v>
      </c>
      <c r="AI213" s="10" t="str">
        <f>"17tpp"</f>
        <v>17tpp</v>
      </c>
      <c r="AJ213" s="15" t="str">
        <f>"1 The Garth, Yarnton"</f>
        <v>1 The Garth, Yarnton</v>
      </c>
      <c r="AK213" s="10" t="str">
        <f t="shared" si="146"/>
        <v>Revenue</v>
      </c>
      <c r="AL213" s="10" t="str">
        <f>""</f>
        <v/>
      </c>
      <c r="AM213" s="10" t="str">
        <f>""</f>
        <v/>
      </c>
      <c r="AN213" s="10" t="str">
        <f>""</f>
        <v/>
      </c>
      <c r="AO213" s="10" t="str">
        <f>""</f>
        <v/>
      </c>
    </row>
    <row r="214" spans="1:41" s="10" customFormat="1" ht="409.6">
      <c r="A214" s="9"/>
      <c r="B214" s="9"/>
      <c r="C214" s="9"/>
      <c r="D214" s="10" t="str">
        <f>"34703"</f>
        <v>34703</v>
      </c>
      <c r="E214" s="11" t="str">
        <f>""</f>
        <v/>
      </c>
      <c r="F214" s="11" t="str">
        <f t="shared" si="135"/>
        <v>372418</v>
      </c>
      <c r="G214" s="11" t="str">
        <f t="shared" si="136"/>
        <v>2017toJAN</v>
      </c>
      <c r="H214" s="11" t="str">
        <f t="shared" si="137"/>
        <v>CRSP06B</v>
      </c>
      <c r="I214" s="11" t="str">
        <f t="shared" si="138"/>
        <v>34</v>
      </c>
      <c r="J214" s="11" t="str">
        <f t="shared" si="139"/>
        <v>Creditor</v>
      </c>
      <c r="K214" s="11" t="str">
        <f t="shared" si="148"/>
        <v>CS000738</v>
      </c>
      <c r="L214" s="10" t="str">
        <f t="shared" si="149"/>
        <v>J Merry</v>
      </c>
      <c r="M214" s="12" t="str">
        <f t="shared" si="150"/>
        <v>04/01/2017 00:00:00</v>
      </c>
      <c r="N214" s="12">
        <v>42739</v>
      </c>
      <c r="O214" s="10" t="str">
        <f>"C007550"</f>
        <v>C007550</v>
      </c>
      <c r="P214" s="13">
        <v>84.07</v>
      </c>
      <c r="Q214" s="11" t="str">
        <f>"84.0700"</f>
        <v>84.0700</v>
      </c>
      <c r="R214" s="10" t="str">
        <f t="shared" si="151"/>
        <v>C0004264</v>
      </c>
      <c r="S214" s="14" t="str">
        <f t="shared" si="152"/>
        <v>583.2400</v>
      </c>
      <c r="T214" s="10">
        <v>28402</v>
      </c>
      <c r="U214" s="10">
        <v>1765</v>
      </c>
      <c r="V214" s="10" t="str">
        <f>"Professional Fees"</f>
        <v>Professional Fees</v>
      </c>
      <c r="W214" s="10" t="str">
        <f>"Third Party Payments"</f>
        <v>Third Party Payments</v>
      </c>
      <c r="X214" s="10" t="str">
        <f>VLOOKUP(U214,'[1]Account code lookup'!A:B,2,0)</f>
        <v>Consultants Fees</v>
      </c>
      <c r="Z214" s="10" t="str">
        <f>"Regeneration and Housing"</f>
        <v>Regeneration and Housing</v>
      </c>
      <c r="AA214" s="10" t="str">
        <f>"Commercial Development"</f>
        <v>Commercial Development</v>
      </c>
      <c r="AB214" s="10" t="str">
        <f>"2cdb"</f>
        <v>2cdb</v>
      </c>
      <c r="AD214" s="10" t="str">
        <f>"cdb02"</f>
        <v>cdb02</v>
      </c>
      <c r="AE214" s="10" t="str">
        <f t="shared" si="153"/>
        <v>Regeneration &amp; Housing / Home Improvement Agency</v>
      </c>
      <c r="AG214" s="10" t="str">
        <f>"28402/1765"</f>
        <v>28402/1765</v>
      </c>
      <c r="AI214" s="10" t="str">
        <f>"17tpp"</f>
        <v>17tpp</v>
      </c>
      <c r="AJ214" s="15" t="str">
        <f>"20 Priory Rd, Bicester"</f>
        <v>20 Priory Rd, Bicester</v>
      </c>
      <c r="AK214" s="10" t="str">
        <f t="shared" si="146"/>
        <v>Revenue</v>
      </c>
      <c r="AL214" s="10" t="str">
        <f>""</f>
        <v/>
      </c>
      <c r="AM214" s="10" t="str">
        <f>""</f>
        <v/>
      </c>
      <c r="AN214" s="10" t="str">
        <f>""</f>
        <v/>
      </c>
      <c r="AO214" s="10" t="str">
        <f>""</f>
        <v/>
      </c>
    </row>
    <row r="215" spans="1:41" s="10" customFormat="1" ht="409.6">
      <c r="A215" s="9"/>
      <c r="B215" s="9"/>
      <c r="C215" s="9"/>
      <c r="D215" s="10" t="str">
        <f>"34704"</f>
        <v>34704</v>
      </c>
      <c r="E215" s="11" t="str">
        <f>""</f>
        <v/>
      </c>
      <c r="F215" s="11" t="str">
        <f t="shared" si="135"/>
        <v>372418</v>
      </c>
      <c r="G215" s="11" t="str">
        <f t="shared" si="136"/>
        <v>2017toJAN</v>
      </c>
      <c r="H215" s="11" t="str">
        <f t="shared" si="137"/>
        <v>CRSP06B</v>
      </c>
      <c r="I215" s="11" t="str">
        <f t="shared" si="138"/>
        <v>34</v>
      </c>
      <c r="J215" s="11" t="str">
        <f t="shared" si="139"/>
        <v>Creditor</v>
      </c>
      <c r="K215" s="11" t="str">
        <f t="shared" si="148"/>
        <v>CS000738</v>
      </c>
      <c r="L215" s="10" t="str">
        <f t="shared" si="149"/>
        <v>J Merry</v>
      </c>
      <c r="M215" s="12" t="str">
        <f t="shared" si="150"/>
        <v>04/01/2017 00:00:00</v>
      </c>
      <c r="N215" s="12">
        <v>42739</v>
      </c>
      <c r="O215" s="10" t="str">
        <f>"C007554"</f>
        <v>C007554</v>
      </c>
      <c r="P215" s="13">
        <v>171.28</v>
      </c>
      <c r="Q215" s="11" t="str">
        <f>"171.2800"</f>
        <v>171.2800</v>
      </c>
      <c r="R215" s="10" t="str">
        <f t="shared" si="151"/>
        <v>C0004264</v>
      </c>
      <c r="S215" s="14" t="str">
        <f t="shared" si="152"/>
        <v>583.2400</v>
      </c>
      <c r="T215" s="10">
        <v>28402</v>
      </c>
      <c r="U215" s="10">
        <v>1765</v>
      </c>
      <c r="V215" s="10" t="str">
        <f>"Professional Fees"</f>
        <v>Professional Fees</v>
      </c>
      <c r="W215" s="10" t="str">
        <f>"Third Party Payments"</f>
        <v>Third Party Payments</v>
      </c>
      <c r="X215" s="10" t="str">
        <f>VLOOKUP(U215,'[1]Account code lookup'!A:B,2,0)</f>
        <v>Consultants Fees</v>
      </c>
      <c r="Z215" s="10" t="str">
        <f>"Regeneration and Housing"</f>
        <v>Regeneration and Housing</v>
      </c>
      <c r="AA215" s="10" t="str">
        <f>"Commercial Development"</f>
        <v>Commercial Development</v>
      </c>
      <c r="AB215" s="10" t="str">
        <f>"2cdb"</f>
        <v>2cdb</v>
      </c>
      <c r="AD215" s="10" t="str">
        <f>"cdb02"</f>
        <v>cdb02</v>
      </c>
      <c r="AE215" s="10" t="str">
        <f t="shared" si="153"/>
        <v>Regeneration &amp; Housing / Home Improvement Agency</v>
      </c>
      <c r="AG215" s="10" t="str">
        <f>"28402/1765"</f>
        <v>28402/1765</v>
      </c>
      <c r="AI215" s="10" t="str">
        <f>"17tpp"</f>
        <v>17tpp</v>
      </c>
      <c r="AJ215" s="15" t="str">
        <f>"44 Laburnum Cres, Kid"</f>
        <v>44 Laburnum Cres, Kid</v>
      </c>
      <c r="AK215" s="10" t="str">
        <f t="shared" si="146"/>
        <v>Revenue</v>
      </c>
      <c r="AL215" s="10" t="str">
        <f>""</f>
        <v/>
      </c>
      <c r="AM215" s="10" t="str">
        <f>""</f>
        <v/>
      </c>
      <c r="AN215" s="10" t="str">
        <f>""</f>
        <v/>
      </c>
      <c r="AO215" s="10" t="str">
        <f>""</f>
        <v/>
      </c>
    </row>
    <row r="216" spans="1:41" s="10" customFormat="1" ht="409.6">
      <c r="A216" s="9"/>
      <c r="B216" s="9"/>
      <c r="C216" s="9"/>
      <c r="D216" s="10" t="str">
        <f>"34705"</f>
        <v>34705</v>
      </c>
      <c r="E216" s="11" t="str">
        <f>""</f>
        <v/>
      </c>
      <c r="F216" s="11" t="str">
        <f t="shared" si="135"/>
        <v>372418</v>
      </c>
      <c r="G216" s="11" t="str">
        <f t="shared" si="136"/>
        <v>2017toJAN</v>
      </c>
      <c r="H216" s="11" t="str">
        <f t="shared" si="137"/>
        <v>CRSP06B</v>
      </c>
      <c r="I216" s="11" t="str">
        <f t="shared" si="138"/>
        <v>34</v>
      </c>
      <c r="J216" s="11" t="str">
        <f t="shared" si="139"/>
        <v>Creditor</v>
      </c>
      <c r="K216" s="11" t="str">
        <f t="shared" si="148"/>
        <v>CS000738</v>
      </c>
      <c r="L216" s="10" t="str">
        <f t="shared" si="149"/>
        <v>J Merry</v>
      </c>
      <c r="M216" s="12" t="str">
        <f t="shared" si="150"/>
        <v>04/01/2017 00:00:00</v>
      </c>
      <c r="N216" s="12">
        <v>42739</v>
      </c>
      <c r="O216" s="10" t="str">
        <f>"C007552"</f>
        <v>C007552</v>
      </c>
      <c r="P216" s="13">
        <v>84.1</v>
      </c>
      <c r="Q216" s="11" t="str">
        <f>"84.1000"</f>
        <v>84.1000</v>
      </c>
      <c r="R216" s="10" t="str">
        <f t="shared" si="151"/>
        <v>C0004264</v>
      </c>
      <c r="S216" s="14" t="str">
        <f t="shared" si="152"/>
        <v>583.2400</v>
      </c>
      <c r="T216" s="10">
        <v>28402</v>
      </c>
      <c r="U216" s="10">
        <v>1765</v>
      </c>
      <c r="V216" s="10" t="str">
        <f>"Professional Fees"</f>
        <v>Professional Fees</v>
      </c>
      <c r="W216" s="10" t="str">
        <f>"Third Party Payments"</f>
        <v>Third Party Payments</v>
      </c>
      <c r="X216" s="10" t="str">
        <f>VLOOKUP(U216,'[1]Account code lookup'!A:B,2,0)</f>
        <v>Consultants Fees</v>
      </c>
      <c r="Z216" s="10" t="str">
        <f>"Regeneration and Housing"</f>
        <v>Regeneration and Housing</v>
      </c>
      <c r="AA216" s="10" t="str">
        <f>"Commercial Development"</f>
        <v>Commercial Development</v>
      </c>
      <c r="AB216" s="10" t="str">
        <f>"2cdb"</f>
        <v>2cdb</v>
      </c>
      <c r="AD216" s="10" t="str">
        <f>"cdb02"</f>
        <v>cdb02</v>
      </c>
      <c r="AE216" s="10" t="str">
        <f t="shared" si="153"/>
        <v>Regeneration &amp; Housing / Home Improvement Agency</v>
      </c>
      <c r="AG216" s="10" t="str">
        <f>"28402/1765"</f>
        <v>28402/1765</v>
      </c>
      <c r="AI216" s="10" t="str">
        <f>"17tpp"</f>
        <v>17tpp</v>
      </c>
      <c r="AJ216" s="15" t="str">
        <f>"47 Begbroke Cres, Begbroke"</f>
        <v>47 Begbroke Cres, Begbroke</v>
      </c>
      <c r="AK216" s="10" t="str">
        <f t="shared" si="146"/>
        <v>Revenue</v>
      </c>
      <c r="AL216" s="10" t="str">
        <f>""</f>
        <v/>
      </c>
      <c r="AM216" s="10" t="str">
        <f>""</f>
        <v/>
      </c>
      <c r="AN216" s="10" t="str">
        <f>""</f>
        <v/>
      </c>
      <c r="AO216" s="10" t="str">
        <f>""</f>
        <v/>
      </c>
    </row>
    <row r="217" spans="1:41" s="10" customFormat="1" ht="409.6">
      <c r="A217" s="9"/>
      <c r="B217" s="9"/>
      <c r="C217" s="9"/>
      <c r="D217" s="10" t="str">
        <f>"35095"</f>
        <v>35095</v>
      </c>
      <c r="E217" s="11" t="str">
        <f>""</f>
        <v/>
      </c>
      <c r="F217" s="11" t="str">
        <f t="shared" si="135"/>
        <v>372418</v>
      </c>
      <c r="G217" s="11" t="str">
        <f t="shared" si="136"/>
        <v>2017toJAN</v>
      </c>
      <c r="H217" s="11" t="str">
        <f t="shared" si="137"/>
        <v>CRSP06B</v>
      </c>
      <c r="I217" s="11" t="str">
        <f t="shared" si="138"/>
        <v>34</v>
      </c>
      <c r="J217" s="11" t="str">
        <f t="shared" si="139"/>
        <v>Creditor</v>
      </c>
      <c r="K217" s="11" t="str">
        <f t="shared" si="148"/>
        <v>CS000738</v>
      </c>
      <c r="L217" s="10" t="str">
        <f t="shared" si="149"/>
        <v>J Merry</v>
      </c>
      <c r="M217" s="12" t="str">
        <f t="shared" si="150"/>
        <v>04/01/2017 00:00:00</v>
      </c>
      <c r="N217" s="12">
        <v>42739</v>
      </c>
      <c r="O217" s="10" t="str">
        <f>"C007553"</f>
        <v>C007553</v>
      </c>
      <c r="P217" s="13">
        <v>124.6</v>
      </c>
      <c r="Q217" s="11" t="str">
        <f>"124.6000"</f>
        <v>124.6000</v>
      </c>
      <c r="R217" s="10" t="str">
        <f t="shared" si="151"/>
        <v>C0004264</v>
      </c>
      <c r="S217" s="14" t="str">
        <f t="shared" si="152"/>
        <v>583.2400</v>
      </c>
      <c r="T217" s="10">
        <v>28402</v>
      </c>
      <c r="U217" s="10">
        <v>1765</v>
      </c>
      <c r="V217" s="10" t="str">
        <f>"Professional Fees"</f>
        <v>Professional Fees</v>
      </c>
      <c r="W217" s="10" t="str">
        <f>"Third Party Payments"</f>
        <v>Third Party Payments</v>
      </c>
      <c r="X217" s="10" t="str">
        <f>VLOOKUP(U217,'[1]Account code lookup'!A:B,2,0)</f>
        <v>Consultants Fees</v>
      </c>
      <c r="Z217" s="10" t="str">
        <f>"Regeneration and Housing"</f>
        <v>Regeneration and Housing</v>
      </c>
      <c r="AA217" s="10" t="str">
        <f>"Commercial Development"</f>
        <v>Commercial Development</v>
      </c>
      <c r="AB217" s="10" t="str">
        <f>"2cdb"</f>
        <v>2cdb</v>
      </c>
      <c r="AD217" s="10" t="str">
        <f>"cdb02"</f>
        <v>cdb02</v>
      </c>
      <c r="AE217" s="10" t="str">
        <f t="shared" si="153"/>
        <v>Regeneration &amp; Housing / Home Improvement Agency</v>
      </c>
      <c r="AG217" s="10" t="str">
        <f>"28402/1765"</f>
        <v>28402/1765</v>
      </c>
      <c r="AI217" s="10" t="str">
        <f>"17tpp"</f>
        <v>17tpp</v>
      </c>
      <c r="AJ217" s="15" t="str">
        <f>"53 Lock Cres, Kid"</f>
        <v>53 Lock Cres, Kid</v>
      </c>
      <c r="AK217" s="10" t="str">
        <f t="shared" si="146"/>
        <v>Revenue</v>
      </c>
      <c r="AL217" s="10" t="str">
        <f>""</f>
        <v/>
      </c>
      <c r="AM217" s="10" t="str">
        <f>""</f>
        <v/>
      </c>
      <c r="AN217" s="10" t="str">
        <f>""</f>
        <v/>
      </c>
      <c r="AO217" s="10" t="str">
        <f>""</f>
        <v/>
      </c>
    </row>
    <row r="218" spans="1:41" s="10" customFormat="1" ht="409.6">
      <c r="A218" s="9"/>
      <c r="B218" s="9"/>
      <c r="C218" s="9"/>
      <c r="D218" s="10" t="str">
        <f>"27764"</f>
        <v>27764</v>
      </c>
      <c r="E218" s="11" t="str">
        <f>""</f>
        <v/>
      </c>
      <c r="F218" s="11" t="str">
        <f t="shared" si="135"/>
        <v>372418</v>
      </c>
      <c r="G218" s="11" t="str">
        <f t="shared" si="136"/>
        <v>2017toJAN</v>
      </c>
      <c r="H218" s="11" t="str">
        <f t="shared" si="137"/>
        <v>CRSP06B</v>
      </c>
      <c r="I218" s="11" t="str">
        <f t="shared" si="138"/>
        <v>34</v>
      </c>
      <c r="J218" s="11" t="str">
        <f t="shared" si="139"/>
        <v>Creditor</v>
      </c>
      <c r="K218" s="11" t="str">
        <f t="shared" si="148"/>
        <v>CS000738</v>
      </c>
      <c r="L218" s="10" t="str">
        <f t="shared" si="149"/>
        <v>J Merry</v>
      </c>
      <c r="M218" s="12" t="str">
        <f t="shared" si="150"/>
        <v>04/01/2017 00:00:00</v>
      </c>
      <c r="N218" s="12">
        <v>42739</v>
      </c>
      <c r="O218" s="10" t="str">
        <f>"C007555"</f>
        <v>C007555</v>
      </c>
      <c r="P218" s="13">
        <v>63.19</v>
      </c>
      <c r="Q218" s="11" t="str">
        <f>"63.1900"</f>
        <v>63.1900</v>
      </c>
      <c r="R218" s="10" t="str">
        <f t="shared" si="151"/>
        <v>C0004264</v>
      </c>
      <c r="S218" s="14" t="str">
        <f t="shared" si="152"/>
        <v>583.2400</v>
      </c>
      <c r="T218" s="10">
        <v>40083</v>
      </c>
      <c r="U218" s="10">
        <v>4100</v>
      </c>
      <c r="V218" s="10" t="str">
        <f>"Capital Works"</f>
        <v>Capital Works</v>
      </c>
      <c r="W218" s="10" t="str">
        <f>"Capital Works"</f>
        <v>Capital Works</v>
      </c>
      <c r="X218" s="10" t="str">
        <f>VLOOKUP(U218,'[1]Account code lookup'!A:B,2,0)</f>
        <v>Contractors Capital Payments</v>
      </c>
      <c r="Z218" s="10" t="str">
        <f>"Capital Regen and Housing"</f>
        <v>Capital Regen and Housing</v>
      </c>
      <c r="AA218" s="10" t="str">
        <f>"Commercial Development Capital"</f>
        <v>Commercial Development Capital</v>
      </c>
      <c r="AB218" s="10" t="str">
        <f>"c2cdb"</f>
        <v>c2cdb</v>
      </c>
      <c r="AD218" s="10" t="str">
        <f>"ccdb02"</f>
        <v>ccdb02</v>
      </c>
      <c r="AE218" s="10" t="str">
        <f t="shared" si="153"/>
        <v>Regeneration &amp; Housing / Home Improvement Agency</v>
      </c>
      <c r="AG218" s="10" t="str">
        <f>"40083/4100"</f>
        <v>40083/4100</v>
      </c>
      <c r="AI218" s="10" t="str">
        <f>"41cwrk"</f>
        <v>41cwrk</v>
      </c>
      <c r="AJ218" s="15" t="str">
        <f>"17 Lower End, Piddington"</f>
        <v>17 Lower End, Piddington</v>
      </c>
      <c r="AK218" s="10" t="str">
        <f>"Capital"</f>
        <v>Capital</v>
      </c>
      <c r="AL218" s="10" t="str">
        <f>""</f>
        <v/>
      </c>
      <c r="AM218" s="10" t="str">
        <f>""</f>
        <v/>
      </c>
      <c r="AN218" s="10" t="str">
        <f>""</f>
        <v/>
      </c>
      <c r="AO218" s="10" t="str">
        <f>""</f>
        <v/>
      </c>
    </row>
    <row r="219" spans="1:41" s="10" customFormat="1" ht="409.6">
      <c r="A219" s="9"/>
      <c r="B219" s="9"/>
      <c r="C219" s="9"/>
      <c r="D219" s="10" t="str">
        <f>"27765"</f>
        <v>27765</v>
      </c>
      <c r="E219" s="11" t="str">
        <f>""</f>
        <v/>
      </c>
      <c r="F219" s="11" t="str">
        <f t="shared" si="135"/>
        <v>372418</v>
      </c>
      <c r="G219" s="11" t="str">
        <f t="shared" si="136"/>
        <v>2017toJAN</v>
      </c>
      <c r="H219" s="11" t="str">
        <f t="shared" si="137"/>
        <v>CRSP06B</v>
      </c>
      <c r="I219" s="11" t="str">
        <f t="shared" si="138"/>
        <v>34</v>
      </c>
      <c r="J219" s="11" t="str">
        <f t="shared" si="139"/>
        <v>Creditor</v>
      </c>
      <c r="K219" s="11" t="str">
        <f t="shared" si="148"/>
        <v>CS000738</v>
      </c>
      <c r="L219" s="10" t="str">
        <f t="shared" si="149"/>
        <v>J Merry</v>
      </c>
      <c r="M219" s="12" t="str">
        <f>"09/01/2017 00:00:00"</f>
        <v>09/01/2017 00:00:00</v>
      </c>
      <c r="N219" s="12">
        <v>42744</v>
      </c>
      <c r="O219" s="10" t="str">
        <f>"C007681"</f>
        <v>C007681</v>
      </c>
      <c r="P219" s="13">
        <v>321.20999999999998</v>
      </c>
      <c r="Q219" s="11" t="str">
        <f>"321.2100"</f>
        <v>321.2100</v>
      </c>
      <c r="R219" s="10" t="str">
        <f>"C0004326"</f>
        <v>C0004326</v>
      </c>
      <c r="S219" s="14" t="str">
        <f>"983.7100"</f>
        <v>983.7100</v>
      </c>
      <c r="T219" s="10">
        <v>28402</v>
      </c>
      <c r="U219" s="10">
        <v>1765</v>
      </c>
      <c r="V219" s="10" t="str">
        <f>"Professional Fees"</f>
        <v>Professional Fees</v>
      </c>
      <c r="W219" s="10" t="str">
        <f>"Third Party Payments"</f>
        <v>Third Party Payments</v>
      </c>
      <c r="X219" s="10" t="str">
        <f>VLOOKUP(U219,'[1]Account code lookup'!A:B,2,0)</f>
        <v>Consultants Fees</v>
      </c>
      <c r="Z219" s="10" t="str">
        <f>"Regeneration and Housing"</f>
        <v>Regeneration and Housing</v>
      </c>
      <c r="AA219" s="10" t="str">
        <f>"Commercial Development"</f>
        <v>Commercial Development</v>
      </c>
      <c r="AB219" s="10" t="str">
        <f>"2cdb"</f>
        <v>2cdb</v>
      </c>
      <c r="AD219" s="10" t="str">
        <f>"cdb02"</f>
        <v>cdb02</v>
      </c>
      <c r="AE219" s="10" t="str">
        <f t="shared" si="153"/>
        <v>Regeneration &amp; Housing / Home Improvement Agency</v>
      </c>
      <c r="AG219" s="10" t="str">
        <f>"28402/1765"</f>
        <v>28402/1765</v>
      </c>
      <c r="AI219" s="10" t="str">
        <f>"17tpp"</f>
        <v>17tpp</v>
      </c>
      <c r="AJ219" s="15" t="str">
        <f>"10 Barry Avenue, Bic"</f>
        <v>10 Barry Avenue, Bic</v>
      </c>
      <c r="AK219" s="10" t="str">
        <f>"Revenue"</f>
        <v>Revenue</v>
      </c>
      <c r="AL219" s="10" t="str">
        <f>""</f>
        <v/>
      </c>
      <c r="AM219" s="10" t="str">
        <f>""</f>
        <v/>
      </c>
      <c r="AN219" s="10" t="str">
        <f>""</f>
        <v/>
      </c>
      <c r="AO219" s="10" t="str">
        <f>""</f>
        <v/>
      </c>
    </row>
    <row r="220" spans="1:41" s="10" customFormat="1" ht="409.6">
      <c r="A220" s="9"/>
      <c r="B220" s="9"/>
      <c r="C220" s="9"/>
      <c r="D220" s="10" t="str">
        <f>"27766"</f>
        <v>27766</v>
      </c>
      <c r="E220" s="11" t="str">
        <f>""</f>
        <v/>
      </c>
      <c r="F220" s="11" t="str">
        <f t="shared" si="135"/>
        <v>372418</v>
      </c>
      <c r="G220" s="11" t="str">
        <f t="shared" si="136"/>
        <v>2017toJAN</v>
      </c>
      <c r="H220" s="11" t="str">
        <f t="shared" si="137"/>
        <v>CRSP06B</v>
      </c>
      <c r="I220" s="11" t="str">
        <f t="shared" si="138"/>
        <v>34</v>
      </c>
      <c r="J220" s="11" t="str">
        <f t="shared" si="139"/>
        <v>Creditor</v>
      </c>
      <c r="K220" s="11" t="str">
        <f t="shared" si="148"/>
        <v>CS000738</v>
      </c>
      <c r="L220" s="10" t="str">
        <f t="shared" si="149"/>
        <v>J Merry</v>
      </c>
      <c r="M220" s="12" t="str">
        <f>"09/01/2017 00:00:00"</f>
        <v>09/01/2017 00:00:00</v>
      </c>
      <c r="N220" s="12">
        <v>42744</v>
      </c>
      <c r="O220" s="10" t="str">
        <f>"C007679"</f>
        <v>C007679</v>
      </c>
      <c r="P220" s="13">
        <v>662.5</v>
      </c>
      <c r="Q220" s="11" t="str">
        <f>"662.5000"</f>
        <v>662.5000</v>
      </c>
      <c r="R220" s="10" t="str">
        <f>"C0004326"</f>
        <v>C0004326</v>
      </c>
      <c r="S220" s="14" t="str">
        <f>"983.7100"</f>
        <v>983.7100</v>
      </c>
      <c r="T220" s="10">
        <v>40084</v>
      </c>
      <c r="U220" s="10">
        <v>4100</v>
      </c>
      <c r="V220" s="10" t="str">
        <f>"Capital Works"</f>
        <v>Capital Works</v>
      </c>
      <c r="W220" s="10" t="str">
        <f>"Capital Works"</f>
        <v>Capital Works</v>
      </c>
      <c r="X220" s="10" t="str">
        <f>VLOOKUP(U220,'[1]Account code lookup'!A:B,2,0)</f>
        <v>Contractors Capital Payments</v>
      </c>
      <c r="Z220" s="10" t="str">
        <f>"Capital Regen and Housing"</f>
        <v>Capital Regen and Housing</v>
      </c>
      <c r="AA220" s="10" t="str">
        <f>"Commercial Development Capital"</f>
        <v>Commercial Development Capital</v>
      </c>
      <c r="AB220" s="10" t="str">
        <f>"c2cdb"</f>
        <v>c2cdb</v>
      </c>
      <c r="AD220" s="10" t="str">
        <f>"ccdb02"</f>
        <v>ccdb02</v>
      </c>
      <c r="AE220" s="10" t="str">
        <f t="shared" si="153"/>
        <v>Regeneration &amp; Housing / Home Improvement Agency</v>
      </c>
      <c r="AG220" s="10" t="str">
        <f>"40084/4100"</f>
        <v>40084/4100</v>
      </c>
      <c r="AI220" s="10" t="str">
        <f>"41cwrk"</f>
        <v>41cwrk</v>
      </c>
      <c r="AJ220" s="15" t="str">
        <f>"Keysafes"</f>
        <v>Keysafes</v>
      </c>
      <c r="AK220" s="10" t="str">
        <f>"Capital"</f>
        <v>Capital</v>
      </c>
      <c r="AL220" s="10" t="str">
        <f>""</f>
        <v/>
      </c>
      <c r="AM220" s="10" t="str">
        <f>""</f>
        <v/>
      </c>
      <c r="AN220" s="10" t="str">
        <f>""</f>
        <v/>
      </c>
      <c r="AO220" s="10" t="str">
        <f>""</f>
        <v/>
      </c>
    </row>
    <row r="221" spans="1:41" s="10" customFormat="1" ht="409.6">
      <c r="A221" s="9"/>
      <c r="B221" s="9"/>
      <c r="C221" s="9"/>
      <c r="D221" s="10" t="str">
        <f>"27767"</f>
        <v>27767</v>
      </c>
      <c r="E221" s="11" t="str">
        <f>""</f>
        <v/>
      </c>
      <c r="F221" s="11" t="str">
        <f t="shared" si="135"/>
        <v>372418</v>
      </c>
      <c r="G221" s="11" t="str">
        <f t="shared" si="136"/>
        <v>2017toJAN</v>
      </c>
      <c r="H221" s="11" t="str">
        <f t="shared" si="137"/>
        <v>CRSP06B</v>
      </c>
      <c r="I221" s="11" t="str">
        <f t="shared" si="138"/>
        <v>34</v>
      </c>
      <c r="J221" s="11" t="str">
        <f t="shared" si="139"/>
        <v>Creditor</v>
      </c>
      <c r="K221" s="11" t="str">
        <f>"CS003034"</f>
        <v>CS003034</v>
      </c>
      <c r="L221" s="10" t="str">
        <f>"J Tomlinson Ltd"</f>
        <v>J Tomlinson Ltd</v>
      </c>
      <c r="M221" s="12" t="str">
        <f>"13/01/2017 00:00:00"</f>
        <v>13/01/2017 00:00:00</v>
      </c>
      <c r="N221" s="12">
        <v>42748</v>
      </c>
      <c r="O221" s="10" t="str">
        <f>"C007724"</f>
        <v>C007724</v>
      </c>
      <c r="P221" s="13">
        <v>249032.55</v>
      </c>
      <c r="Q221" s="11" t="str">
        <f>"249032.5500"</f>
        <v>249032.5500</v>
      </c>
      <c r="R221" s="10" t="str">
        <f>"C0004422"</f>
        <v>C0004422</v>
      </c>
      <c r="S221" s="14" t="str">
        <f>"298839.0600"</f>
        <v>298839.0600</v>
      </c>
      <c r="T221" s="10">
        <v>40005</v>
      </c>
      <c r="U221" s="10">
        <v>4100</v>
      </c>
      <c r="V221" s="10" t="str">
        <f>"Capital Works"</f>
        <v>Capital Works</v>
      </c>
      <c r="W221" s="10" t="str">
        <f>"Capital Works"</f>
        <v>Capital Works</v>
      </c>
      <c r="X221" s="10" t="str">
        <f>VLOOKUP(U221,'[1]Account code lookup'!A:B,2,0)</f>
        <v>Contractors Capital Payments</v>
      </c>
      <c r="Z221" s="10" t="str">
        <f>"Capital Community Services"</f>
        <v>Capital Community Services</v>
      </c>
      <c r="AA221" s="10" t="str">
        <f>"Operations and Delivery Cap"</f>
        <v>Operations and Delivery Cap</v>
      </c>
      <c r="AB221" s="10" t="str">
        <f>"c5oad"</f>
        <v>c5oad</v>
      </c>
      <c r="AD221" s="10" t="str">
        <f>"coad01"</f>
        <v>coad01</v>
      </c>
      <c r="AE221" s="10" t="str">
        <f>"Community Services / Recreation &amp; Sports"</f>
        <v>Community Services / Recreation &amp; Sports</v>
      </c>
      <c r="AG221" s="10" t="str">
        <f>"40005/4100"</f>
        <v>40005/4100</v>
      </c>
      <c r="AI221" s="10" t="str">
        <f>"41cwrk"</f>
        <v>41cwrk</v>
      </c>
      <c r="AJ221" s="15" t="str">
        <f>"Whitelands Farm Pavilion Construction"</f>
        <v>Whitelands Farm Pavilion Construction</v>
      </c>
      <c r="AK221" s="10" t="str">
        <f>"Capital"</f>
        <v>Capital</v>
      </c>
      <c r="AL221" s="10" t="str">
        <f>""</f>
        <v/>
      </c>
      <c r="AM221" s="10" t="str">
        <f>""</f>
        <v/>
      </c>
      <c r="AN221" s="10" t="str">
        <f>""</f>
        <v/>
      </c>
      <c r="AO221" s="10" t="str">
        <f>""</f>
        <v/>
      </c>
    </row>
    <row r="222" spans="1:41" s="10" customFormat="1" ht="409.6">
      <c r="A222" s="9"/>
      <c r="B222" s="9"/>
      <c r="C222" s="9"/>
      <c r="D222" s="10" t="str">
        <f>"27768"</f>
        <v>27768</v>
      </c>
      <c r="E222" s="11" t="str">
        <f>""</f>
        <v/>
      </c>
      <c r="F222" s="11" t="str">
        <f t="shared" si="135"/>
        <v>372418</v>
      </c>
      <c r="G222" s="11" t="str">
        <f t="shared" si="136"/>
        <v>2017toJAN</v>
      </c>
      <c r="H222" s="11" t="str">
        <f t="shared" si="137"/>
        <v>CRSP06B</v>
      </c>
      <c r="I222" s="11" t="str">
        <f t="shared" si="138"/>
        <v>34</v>
      </c>
      <c r="J222" s="11" t="str">
        <f t="shared" si="139"/>
        <v>Creditor</v>
      </c>
      <c r="K222" s="11" t="str">
        <f t="shared" ref="K222:K229" si="154">"CS000750"</f>
        <v>CS000750</v>
      </c>
      <c r="L222" s="10" t="str">
        <f t="shared" ref="L222:L229" si="155">"Jade Security Services Ltd"</f>
        <v>Jade Security Services Ltd</v>
      </c>
      <c r="M222" s="12" t="str">
        <f>"06/01/2017 00:00:00"</f>
        <v>06/01/2017 00:00:00</v>
      </c>
      <c r="N222" s="12">
        <v>42741</v>
      </c>
      <c r="O222" s="10" t="str">
        <f>"C007367"</f>
        <v>C007367</v>
      </c>
      <c r="P222" s="13">
        <v>687.24</v>
      </c>
      <c r="Q222" s="11" t="str">
        <f>"687.2400"</f>
        <v>687.2400</v>
      </c>
      <c r="R222" s="10" t="str">
        <f>"C0004293"</f>
        <v>C0004293</v>
      </c>
      <c r="S222" s="14" t="str">
        <f>"955.0100"</f>
        <v>955.0100</v>
      </c>
      <c r="T222" s="10">
        <v>21700</v>
      </c>
      <c r="U222" s="10">
        <v>1720</v>
      </c>
      <c r="V222" s="10" t="str">
        <f>"Private Contractors"</f>
        <v>Private Contractors</v>
      </c>
      <c r="W222" s="10" t="str">
        <f>"Third Party Payments"</f>
        <v>Third Party Payments</v>
      </c>
      <c r="X222" s="10" t="str">
        <f>VLOOKUP(U222,'[1]Account code lookup'!A:B,2,0)</f>
        <v>Contractor Revenue Payments</v>
      </c>
      <c r="Z222" s="10" t="str">
        <f>"Community Services"</f>
        <v>Community Services</v>
      </c>
      <c r="AA222" s="10" t="str">
        <f t="shared" ref="AA222:AA229" si="156">"Operations and Delivery"</f>
        <v>Operations and Delivery</v>
      </c>
      <c r="AB222" s="10" t="str">
        <f t="shared" ref="AB222:AB229" si="157">"5oad"</f>
        <v>5oad</v>
      </c>
      <c r="AD222" s="10" t="str">
        <f>"oad01"</f>
        <v>oad01</v>
      </c>
      <c r="AE222" s="10" t="str">
        <f t="shared" ref="AE222:AE229" si="158">"Finance &amp; Procurement / Head of Finance &amp; Procurement"</f>
        <v>Finance &amp; Procurement / Head of Finance &amp; Procurement</v>
      </c>
      <c r="AG222" s="10" t="str">
        <f>"21700/1720"</f>
        <v>21700/1720</v>
      </c>
      <c r="AI222" s="10" t="str">
        <f>"17tpp"</f>
        <v>17tpp</v>
      </c>
      <c r="AJ222" s="15" t="str">
        <f>"Collection Monies Non Parking"</f>
        <v>Collection Monies Non Parking</v>
      </c>
      <c r="AK222" s="10" t="str">
        <f t="shared" ref="AK222:AK229" si="159">"Revenue"</f>
        <v>Revenue</v>
      </c>
      <c r="AL222" s="10" t="str">
        <f>""</f>
        <v/>
      </c>
      <c r="AM222" s="10" t="str">
        <f>""</f>
        <v/>
      </c>
      <c r="AN222" s="10" t="str">
        <f>""</f>
        <v/>
      </c>
      <c r="AO222" s="10" t="str">
        <f>""</f>
        <v/>
      </c>
    </row>
    <row r="223" spans="1:41" s="10" customFormat="1" ht="409.6">
      <c r="A223" s="9"/>
      <c r="B223" s="9"/>
      <c r="C223" s="9"/>
      <c r="D223" s="10" t="str">
        <f>"28197"</f>
        <v>28197</v>
      </c>
      <c r="E223" s="11" t="str">
        <f>""</f>
        <v/>
      </c>
      <c r="F223" s="11" t="str">
        <f t="shared" si="135"/>
        <v>372418</v>
      </c>
      <c r="G223" s="11" t="str">
        <f t="shared" si="136"/>
        <v>2017toJAN</v>
      </c>
      <c r="H223" s="11" t="str">
        <f t="shared" si="137"/>
        <v>CRSP06B</v>
      </c>
      <c r="I223" s="11" t="str">
        <f t="shared" si="138"/>
        <v>34</v>
      </c>
      <c r="J223" s="11" t="str">
        <f t="shared" si="139"/>
        <v>Creditor</v>
      </c>
      <c r="K223" s="11" t="str">
        <f t="shared" si="154"/>
        <v>CS000750</v>
      </c>
      <c r="L223" s="10" t="str">
        <f t="shared" si="155"/>
        <v>Jade Security Services Ltd</v>
      </c>
      <c r="M223" s="12" t="str">
        <f>"06/01/2017 00:00:00"</f>
        <v>06/01/2017 00:00:00</v>
      </c>
      <c r="N223" s="12">
        <v>42741</v>
      </c>
      <c r="O223" s="10" t="str">
        <f>"C007367"</f>
        <v>C007367</v>
      </c>
      <c r="P223" s="13">
        <v>108.6</v>
      </c>
      <c r="Q223" s="11" t="str">
        <f>"108.6000"</f>
        <v>108.6000</v>
      </c>
      <c r="R223" s="10" t="str">
        <f>"C0004293"</f>
        <v>C0004293</v>
      </c>
      <c r="S223" s="14" t="str">
        <f>"955.0100"</f>
        <v>955.0100</v>
      </c>
      <c r="T223" s="10">
        <v>25800</v>
      </c>
      <c r="U223" s="10">
        <v>1510</v>
      </c>
      <c r="V223" s="10" t="str">
        <f>"Communications and computing"</f>
        <v>Communications and computing</v>
      </c>
      <c r="W223" s="10" t="str">
        <f>"Supplies and Services"</f>
        <v>Supplies and Services</v>
      </c>
      <c r="X223" s="10" t="str">
        <f>VLOOKUP(U223,'[1]Account code lookup'!A:B,2,0)</f>
        <v>Postages Expenses</v>
      </c>
      <c r="Z223" s="10" t="str">
        <f>"Environmental Services"</f>
        <v>Environmental Services</v>
      </c>
      <c r="AA223" s="10" t="str">
        <f t="shared" si="156"/>
        <v>Operations and Delivery</v>
      </c>
      <c r="AB223" s="10" t="str">
        <f t="shared" si="157"/>
        <v>5oad</v>
      </c>
      <c r="AD223" s="10" t="str">
        <f>"oad02"</f>
        <v>oad02</v>
      </c>
      <c r="AE223" s="10" t="str">
        <f t="shared" si="158"/>
        <v>Finance &amp; Procurement / Head of Finance &amp; Procurement</v>
      </c>
      <c r="AG223" s="10" t="str">
        <f>"25800/1510"</f>
        <v>25800/1510</v>
      </c>
      <c r="AI223" s="10" t="str">
        <f>"14suse"</f>
        <v>14suse</v>
      </c>
      <c r="AJ223" s="15" t="str">
        <f>"Collection from Depot"</f>
        <v>Collection from Depot</v>
      </c>
      <c r="AK223" s="10" t="str">
        <f t="shared" si="159"/>
        <v>Revenue</v>
      </c>
      <c r="AL223" s="10" t="str">
        <f>""</f>
        <v/>
      </c>
      <c r="AM223" s="10" t="str">
        <f>""</f>
        <v/>
      </c>
      <c r="AN223" s="10" t="str">
        <f>""</f>
        <v/>
      </c>
      <c r="AO223" s="10" t="str">
        <f>""</f>
        <v/>
      </c>
    </row>
    <row r="224" spans="1:41" s="10" customFormat="1" ht="409.6">
      <c r="A224" s="9"/>
      <c r="B224" s="9"/>
      <c r="C224" s="9"/>
      <c r="D224" s="10" t="str">
        <f>"28458"</f>
        <v>28458</v>
      </c>
      <c r="E224" s="11" t="str">
        <f>""</f>
        <v/>
      </c>
      <c r="F224" s="11" t="str">
        <f t="shared" si="135"/>
        <v>372418</v>
      </c>
      <c r="G224" s="11" t="str">
        <f t="shared" si="136"/>
        <v>2017toJAN</v>
      </c>
      <c r="H224" s="11" t="str">
        <f t="shared" si="137"/>
        <v>CRSP06B</v>
      </c>
      <c r="I224" s="11" t="str">
        <f t="shared" si="138"/>
        <v>34</v>
      </c>
      <c r="J224" s="11" t="str">
        <f t="shared" si="139"/>
        <v>Creditor</v>
      </c>
      <c r="K224" s="11" t="str">
        <f t="shared" si="154"/>
        <v>CS000750</v>
      </c>
      <c r="L224" s="10" t="str">
        <f t="shared" si="155"/>
        <v>Jade Security Services Ltd</v>
      </c>
      <c r="M224" s="12" t="str">
        <f>"11/01/2017 00:00:00"</f>
        <v>11/01/2017 00:00:00</v>
      </c>
      <c r="N224" s="12">
        <v>42746</v>
      </c>
      <c r="O224" s="10" t="str">
        <f>"C007806"</f>
        <v>C007806</v>
      </c>
      <c r="P224" s="13">
        <v>712.94</v>
      </c>
      <c r="Q224" s="11" t="str">
        <f>"712.9400"</f>
        <v>712.9400</v>
      </c>
      <c r="R224" s="10" t="str">
        <f>"C0004351"</f>
        <v>C0004351</v>
      </c>
      <c r="S224" s="14" t="str">
        <f>"953.2700"</f>
        <v>953.2700</v>
      </c>
      <c r="T224" s="10">
        <v>21700</v>
      </c>
      <c r="U224" s="10">
        <v>1720</v>
      </c>
      <c r="V224" s="10" t="str">
        <f>"Private Contractors"</f>
        <v>Private Contractors</v>
      </c>
      <c r="W224" s="10" t="str">
        <f>"Third Party Payments"</f>
        <v>Third Party Payments</v>
      </c>
      <c r="X224" s="10" t="str">
        <f>VLOOKUP(U224,'[1]Account code lookup'!A:B,2,0)</f>
        <v>Contractor Revenue Payments</v>
      </c>
      <c r="Z224" s="10" t="str">
        <f>"Community Services"</f>
        <v>Community Services</v>
      </c>
      <c r="AA224" s="10" t="str">
        <f t="shared" si="156"/>
        <v>Operations and Delivery</v>
      </c>
      <c r="AB224" s="10" t="str">
        <f t="shared" si="157"/>
        <v>5oad</v>
      </c>
      <c r="AD224" s="10" t="str">
        <f>"oad01"</f>
        <v>oad01</v>
      </c>
      <c r="AE224" s="10" t="str">
        <f t="shared" si="158"/>
        <v>Finance &amp; Procurement / Head of Finance &amp; Procurement</v>
      </c>
      <c r="AG224" s="10" t="str">
        <f>"21700/1720"</f>
        <v>21700/1720</v>
      </c>
      <c r="AI224" s="10" t="str">
        <f>"17tpp"</f>
        <v>17tpp</v>
      </c>
      <c r="AJ224" s="15" t="str">
        <f>"Collection Monies Non Parking"</f>
        <v>Collection Monies Non Parking</v>
      </c>
      <c r="AK224" s="10" t="str">
        <f t="shared" si="159"/>
        <v>Revenue</v>
      </c>
      <c r="AL224" s="10" t="str">
        <f>""</f>
        <v/>
      </c>
      <c r="AM224" s="10" t="str">
        <f>""</f>
        <v/>
      </c>
      <c r="AN224" s="10" t="str">
        <f>""</f>
        <v/>
      </c>
      <c r="AO224" s="10" t="str">
        <f>""</f>
        <v/>
      </c>
    </row>
    <row r="225" spans="1:41" s="10" customFormat="1" ht="409.6">
      <c r="A225" s="9"/>
      <c r="B225" s="9"/>
      <c r="C225" s="9"/>
      <c r="D225" s="10" t="str">
        <f>"28459"</f>
        <v>28459</v>
      </c>
      <c r="E225" s="11" t="str">
        <f>""</f>
        <v/>
      </c>
      <c r="F225" s="11" t="str">
        <f t="shared" si="135"/>
        <v>372418</v>
      </c>
      <c r="G225" s="11" t="str">
        <f t="shared" si="136"/>
        <v>2017toJAN</v>
      </c>
      <c r="H225" s="11" t="str">
        <f t="shared" si="137"/>
        <v>CRSP06B</v>
      </c>
      <c r="I225" s="11" t="str">
        <f t="shared" si="138"/>
        <v>34</v>
      </c>
      <c r="J225" s="11" t="str">
        <f t="shared" si="139"/>
        <v>Creditor</v>
      </c>
      <c r="K225" s="11" t="str">
        <f t="shared" si="154"/>
        <v>CS000750</v>
      </c>
      <c r="L225" s="10" t="str">
        <f t="shared" si="155"/>
        <v>Jade Security Services Ltd</v>
      </c>
      <c r="M225" s="12" t="str">
        <f>"11/01/2017 00:00:00"</f>
        <v>11/01/2017 00:00:00</v>
      </c>
      <c r="N225" s="12">
        <v>42746</v>
      </c>
      <c r="O225" s="10" t="str">
        <f>"C007806"</f>
        <v>C007806</v>
      </c>
      <c r="P225" s="13">
        <v>81.45</v>
      </c>
      <c r="Q225" s="11" t="str">
        <f>"81.4500"</f>
        <v>81.4500</v>
      </c>
      <c r="R225" s="10" t="str">
        <f>"C0004351"</f>
        <v>C0004351</v>
      </c>
      <c r="S225" s="14" t="str">
        <f>"953.2700"</f>
        <v>953.2700</v>
      </c>
      <c r="T225" s="10">
        <v>25800</v>
      </c>
      <c r="U225" s="10">
        <v>1510</v>
      </c>
      <c r="V225" s="10" t="str">
        <f>"Communications and computing"</f>
        <v>Communications and computing</v>
      </c>
      <c r="W225" s="10" t="str">
        <f>"Supplies and Services"</f>
        <v>Supplies and Services</v>
      </c>
      <c r="X225" s="10" t="str">
        <f>VLOOKUP(U225,'[1]Account code lookup'!A:B,2,0)</f>
        <v>Postages Expenses</v>
      </c>
      <c r="Z225" s="10" t="str">
        <f>"Environmental Services"</f>
        <v>Environmental Services</v>
      </c>
      <c r="AA225" s="10" t="str">
        <f t="shared" si="156"/>
        <v>Operations and Delivery</v>
      </c>
      <c r="AB225" s="10" t="str">
        <f t="shared" si="157"/>
        <v>5oad</v>
      </c>
      <c r="AD225" s="10" t="str">
        <f>"oad02"</f>
        <v>oad02</v>
      </c>
      <c r="AE225" s="10" t="str">
        <f t="shared" si="158"/>
        <v>Finance &amp; Procurement / Head of Finance &amp; Procurement</v>
      </c>
      <c r="AG225" s="10" t="str">
        <f>"25800/1510"</f>
        <v>25800/1510</v>
      </c>
      <c r="AI225" s="10" t="str">
        <f>"14suse"</f>
        <v>14suse</v>
      </c>
      <c r="AJ225" s="15" t="str">
        <f>"Collection from Depot"</f>
        <v>Collection from Depot</v>
      </c>
      <c r="AK225" s="10" t="str">
        <f t="shared" si="159"/>
        <v>Revenue</v>
      </c>
      <c r="AL225" s="10" t="str">
        <f>""</f>
        <v/>
      </c>
      <c r="AM225" s="10" t="str">
        <f>""</f>
        <v/>
      </c>
      <c r="AN225" s="10" t="str">
        <f>""</f>
        <v/>
      </c>
      <c r="AO225" s="10" t="str">
        <f>""</f>
        <v/>
      </c>
    </row>
    <row r="226" spans="1:41" s="10" customFormat="1" ht="409.6">
      <c r="A226" s="9"/>
      <c r="B226" s="9"/>
      <c r="C226" s="9"/>
      <c r="D226" s="10" t="str">
        <f>"28460"</f>
        <v>28460</v>
      </c>
      <c r="E226" s="11" t="str">
        <f>""</f>
        <v/>
      </c>
      <c r="F226" s="11" t="str">
        <f t="shared" si="135"/>
        <v>372418</v>
      </c>
      <c r="G226" s="11" t="str">
        <f t="shared" si="136"/>
        <v>2017toJAN</v>
      </c>
      <c r="H226" s="11" t="str">
        <f t="shared" si="137"/>
        <v>CRSP06B</v>
      </c>
      <c r="I226" s="11" t="str">
        <f t="shared" si="138"/>
        <v>34</v>
      </c>
      <c r="J226" s="11" t="str">
        <f t="shared" si="139"/>
        <v>Creditor</v>
      </c>
      <c r="K226" s="11" t="str">
        <f t="shared" si="154"/>
        <v>CS000750</v>
      </c>
      <c r="L226" s="10" t="str">
        <f t="shared" si="155"/>
        <v>Jade Security Services Ltd</v>
      </c>
      <c r="M226" s="12" t="str">
        <f>"18/01/2017 00:00:00"</f>
        <v>18/01/2017 00:00:00</v>
      </c>
      <c r="N226" s="12">
        <v>42753</v>
      </c>
      <c r="O226" s="10" t="str">
        <f>"C007805"</f>
        <v>C007805</v>
      </c>
      <c r="P226" s="13">
        <v>1971.09</v>
      </c>
      <c r="Q226" s="11" t="str">
        <f>"1971.0900"</f>
        <v>1971.0900</v>
      </c>
      <c r="R226" s="10" t="str">
        <f>"C0004470"</f>
        <v>C0004470</v>
      </c>
      <c r="S226" s="14" t="str">
        <f>"2365.3100"</f>
        <v>2365.3100</v>
      </c>
      <c r="T226" s="10">
        <v>27010</v>
      </c>
      <c r="U226" s="10">
        <v>1720</v>
      </c>
      <c r="V226" s="10" t="str">
        <f>"Private Contractors"</f>
        <v>Private Contractors</v>
      </c>
      <c r="W226" s="10" t="str">
        <f>"Third Party Payments"</f>
        <v>Third Party Payments</v>
      </c>
      <c r="X226" s="10" t="str">
        <f>VLOOKUP(U226,'[1]Account code lookup'!A:B,2,0)</f>
        <v>Contractor Revenue Payments</v>
      </c>
      <c r="Z226" s="10" t="str">
        <f>"Community Services"</f>
        <v>Community Services</v>
      </c>
      <c r="AA226" s="10" t="str">
        <f t="shared" si="156"/>
        <v>Operations and Delivery</v>
      </c>
      <c r="AB226" s="10" t="str">
        <f t="shared" si="157"/>
        <v>5oad</v>
      </c>
      <c r="AD226" s="10" t="str">
        <f>"oad01"</f>
        <v>oad01</v>
      </c>
      <c r="AE226" s="10" t="str">
        <f t="shared" si="158"/>
        <v>Finance &amp; Procurement / Head of Finance &amp; Procurement</v>
      </c>
      <c r="AG226" s="10" t="str">
        <f>"27010/1720"</f>
        <v>27010/1720</v>
      </c>
      <c r="AI226" s="10" t="str">
        <f>"17tpp"</f>
        <v>17tpp</v>
      </c>
      <c r="AJ226" s="15" t="str">
        <f>"Parking Collections"</f>
        <v>Parking Collections</v>
      </c>
      <c r="AK226" s="10" t="str">
        <f t="shared" si="159"/>
        <v>Revenue</v>
      </c>
      <c r="AL226" s="10" t="str">
        <f>""</f>
        <v/>
      </c>
      <c r="AM226" s="10" t="str">
        <f>""</f>
        <v/>
      </c>
      <c r="AN226" s="10" t="str">
        <f>""</f>
        <v/>
      </c>
      <c r="AO226" s="10" t="str">
        <f>""</f>
        <v/>
      </c>
    </row>
    <row r="227" spans="1:41" s="10" customFormat="1" ht="409.6">
      <c r="A227" s="9"/>
      <c r="B227" s="9"/>
      <c r="C227" s="9"/>
      <c r="D227" s="10" t="str">
        <f>"28461"</f>
        <v>28461</v>
      </c>
      <c r="E227" s="11" t="str">
        <f>""</f>
        <v/>
      </c>
      <c r="F227" s="11" t="str">
        <f t="shared" ref="F227:F286" si="160">"372418"</f>
        <v>372418</v>
      </c>
      <c r="G227" s="11" t="str">
        <f t="shared" ref="G227:G286" si="161">"2017toJAN"</f>
        <v>2017toJAN</v>
      </c>
      <c r="H227" s="11" t="str">
        <f t="shared" ref="H227:H286" si="162">"CRSP06B"</f>
        <v>CRSP06B</v>
      </c>
      <c r="I227" s="11" t="str">
        <f t="shared" ref="I227:I286" si="163">"34"</f>
        <v>34</v>
      </c>
      <c r="J227" s="11" t="str">
        <f t="shared" ref="J227:J286" si="164">"Creditor"</f>
        <v>Creditor</v>
      </c>
      <c r="K227" s="11" t="str">
        <f t="shared" si="154"/>
        <v>CS000750</v>
      </c>
      <c r="L227" s="10" t="str">
        <f t="shared" si="155"/>
        <v>Jade Security Services Ltd</v>
      </c>
      <c r="M227" s="12" t="str">
        <f>"27/01/2017 00:00:00"</f>
        <v>27/01/2017 00:00:00</v>
      </c>
      <c r="N227" s="12">
        <v>42762</v>
      </c>
      <c r="O227" s="10" t="str">
        <f>"C008171"</f>
        <v>C008171</v>
      </c>
      <c r="P227" s="13">
        <v>717.52</v>
      </c>
      <c r="Q227" s="11" t="str">
        <f>"717.5200"</f>
        <v>717.5200</v>
      </c>
      <c r="R227" s="10" t="str">
        <f>"C0004589"</f>
        <v>C0004589</v>
      </c>
      <c r="S227" s="14" t="str">
        <f>"3656.3800"</f>
        <v>3656.3800</v>
      </c>
      <c r="T227" s="10">
        <v>21700</v>
      </c>
      <c r="U227" s="10">
        <v>1720</v>
      </c>
      <c r="V227" s="10" t="str">
        <f>"Private Contractors"</f>
        <v>Private Contractors</v>
      </c>
      <c r="W227" s="10" t="str">
        <f>"Third Party Payments"</f>
        <v>Third Party Payments</v>
      </c>
      <c r="X227" s="10" t="str">
        <f>VLOOKUP(U227,'[1]Account code lookup'!A:B,2,0)</f>
        <v>Contractor Revenue Payments</v>
      </c>
      <c r="Z227" s="10" t="str">
        <f>"Community Services"</f>
        <v>Community Services</v>
      </c>
      <c r="AA227" s="10" t="str">
        <f t="shared" si="156"/>
        <v>Operations and Delivery</v>
      </c>
      <c r="AB227" s="10" t="str">
        <f t="shared" si="157"/>
        <v>5oad</v>
      </c>
      <c r="AD227" s="10" t="str">
        <f>"oad01"</f>
        <v>oad01</v>
      </c>
      <c r="AE227" s="10" t="str">
        <f t="shared" si="158"/>
        <v>Finance &amp; Procurement / Head of Finance &amp; Procurement</v>
      </c>
      <c r="AG227" s="10" t="str">
        <f>"21700/1720"</f>
        <v>21700/1720</v>
      </c>
      <c r="AI227" s="10" t="str">
        <f>"17tpp"</f>
        <v>17tpp</v>
      </c>
      <c r="AJ227" s="15" t="str">
        <f>"Collection Monies Non Parking"</f>
        <v>Collection Monies Non Parking</v>
      </c>
      <c r="AK227" s="10" t="str">
        <f t="shared" si="159"/>
        <v>Revenue</v>
      </c>
      <c r="AL227" s="10" t="str">
        <f>""</f>
        <v/>
      </c>
      <c r="AM227" s="10" t="str">
        <f>""</f>
        <v/>
      </c>
      <c r="AN227" s="10" t="str">
        <f>""</f>
        <v/>
      </c>
      <c r="AO227" s="10" t="str">
        <f>""</f>
        <v/>
      </c>
    </row>
    <row r="228" spans="1:41" s="10" customFormat="1" ht="409.6">
      <c r="A228" s="9"/>
      <c r="B228" s="9"/>
      <c r="C228" s="9"/>
      <c r="D228" s="10" t="str">
        <f>"29474"</f>
        <v>29474</v>
      </c>
      <c r="E228" s="11" t="str">
        <f>""</f>
        <v/>
      </c>
      <c r="F228" s="11" t="str">
        <f t="shared" si="160"/>
        <v>372418</v>
      </c>
      <c r="G228" s="11" t="str">
        <f t="shared" si="161"/>
        <v>2017toJAN</v>
      </c>
      <c r="H228" s="11" t="str">
        <f t="shared" si="162"/>
        <v>CRSP06B</v>
      </c>
      <c r="I228" s="11" t="str">
        <f t="shared" si="163"/>
        <v>34</v>
      </c>
      <c r="J228" s="11" t="str">
        <f t="shared" si="164"/>
        <v>Creditor</v>
      </c>
      <c r="K228" s="11" t="str">
        <f t="shared" si="154"/>
        <v>CS000750</v>
      </c>
      <c r="L228" s="10" t="str">
        <f t="shared" si="155"/>
        <v>Jade Security Services Ltd</v>
      </c>
      <c r="M228" s="12" t="str">
        <f>"27/01/2017 00:00:00"</f>
        <v>27/01/2017 00:00:00</v>
      </c>
      <c r="N228" s="12">
        <v>42762</v>
      </c>
      <c r="O228" s="10" t="str">
        <f>"C008171"</f>
        <v>C008171</v>
      </c>
      <c r="P228" s="13">
        <v>103.17</v>
      </c>
      <c r="Q228" s="11" t="str">
        <f>"103.1700"</f>
        <v>103.1700</v>
      </c>
      <c r="R228" s="10" t="str">
        <f>"C0004589"</f>
        <v>C0004589</v>
      </c>
      <c r="S228" s="14" t="str">
        <f>"3656.3800"</f>
        <v>3656.3800</v>
      </c>
      <c r="T228" s="10">
        <v>25800</v>
      </c>
      <c r="U228" s="10">
        <v>1510</v>
      </c>
      <c r="V228" s="10" t="str">
        <f>"Communications and computing"</f>
        <v>Communications and computing</v>
      </c>
      <c r="W228" s="10" t="str">
        <f>"Supplies and Services"</f>
        <v>Supplies and Services</v>
      </c>
      <c r="X228" s="10" t="str">
        <f>VLOOKUP(U228,'[1]Account code lookup'!A:B,2,0)</f>
        <v>Postages Expenses</v>
      </c>
      <c r="Z228" s="10" t="str">
        <f>"Environmental Services"</f>
        <v>Environmental Services</v>
      </c>
      <c r="AA228" s="10" t="str">
        <f t="shared" si="156"/>
        <v>Operations and Delivery</v>
      </c>
      <c r="AB228" s="10" t="str">
        <f t="shared" si="157"/>
        <v>5oad</v>
      </c>
      <c r="AD228" s="10" t="str">
        <f>"oad02"</f>
        <v>oad02</v>
      </c>
      <c r="AE228" s="10" t="str">
        <f t="shared" si="158"/>
        <v>Finance &amp; Procurement / Head of Finance &amp; Procurement</v>
      </c>
      <c r="AG228" s="10" t="str">
        <f>"25800/1510"</f>
        <v>25800/1510</v>
      </c>
      <c r="AI228" s="10" t="str">
        <f>"14suse"</f>
        <v>14suse</v>
      </c>
      <c r="AJ228" s="15" t="str">
        <f>"Collection from Depot"</f>
        <v>Collection from Depot</v>
      </c>
      <c r="AK228" s="10" t="str">
        <f t="shared" si="159"/>
        <v>Revenue</v>
      </c>
      <c r="AL228" s="10" t="str">
        <f>""</f>
        <v/>
      </c>
      <c r="AM228" s="10" t="str">
        <f>""</f>
        <v/>
      </c>
      <c r="AN228" s="10" t="str">
        <f>""</f>
        <v/>
      </c>
      <c r="AO228" s="10" t="str">
        <f>""</f>
        <v/>
      </c>
    </row>
    <row r="229" spans="1:41" s="10" customFormat="1" ht="409.6">
      <c r="A229" s="9"/>
      <c r="B229" s="9"/>
      <c r="C229" s="9"/>
      <c r="D229" s="10" t="str">
        <f>"29475"</f>
        <v>29475</v>
      </c>
      <c r="E229" s="11" t="str">
        <f>""</f>
        <v/>
      </c>
      <c r="F229" s="11" t="str">
        <f t="shared" si="160"/>
        <v>372418</v>
      </c>
      <c r="G229" s="11" t="str">
        <f t="shared" si="161"/>
        <v>2017toJAN</v>
      </c>
      <c r="H229" s="11" t="str">
        <f t="shared" si="162"/>
        <v>CRSP06B</v>
      </c>
      <c r="I229" s="11" t="str">
        <f t="shared" si="163"/>
        <v>34</v>
      </c>
      <c r="J229" s="11" t="str">
        <f t="shared" si="164"/>
        <v>Creditor</v>
      </c>
      <c r="K229" s="11" t="str">
        <f t="shared" si="154"/>
        <v>CS000750</v>
      </c>
      <c r="L229" s="10" t="str">
        <f t="shared" si="155"/>
        <v>Jade Security Services Ltd</v>
      </c>
      <c r="M229" s="12" t="str">
        <f>"27/01/2017 00:00:00"</f>
        <v>27/01/2017 00:00:00</v>
      </c>
      <c r="N229" s="12">
        <v>42762</v>
      </c>
      <c r="O229" s="10" t="str">
        <f>"C008172"</f>
        <v>C008172</v>
      </c>
      <c r="P229" s="13">
        <v>2226.3000000000002</v>
      </c>
      <c r="Q229" s="11" t="str">
        <f>"2226.3000"</f>
        <v>2226.3000</v>
      </c>
      <c r="R229" s="10" t="str">
        <f>"C0004589"</f>
        <v>C0004589</v>
      </c>
      <c r="S229" s="14" t="str">
        <f>"3656.3800"</f>
        <v>3656.3800</v>
      </c>
      <c r="T229" s="10">
        <v>27010</v>
      </c>
      <c r="U229" s="10">
        <v>1720</v>
      </c>
      <c r="V229" s="10" t="str">
        <f>"Private Contractors"</f>
        <v>Private Contractors</v>
      </c>
      <c r="W229" s="10" t="str">
        <f>"Third Party Payments"</f>
        <v>Third Party Payments</v>
      </c>
      <c r="X229" s="10" t="str">
        <f>VLOOKUP(U229,'[1]Account code lookup'!A:B,2,0)</f>
        <v>Contractor Revenue Payments</v>
      </c>
      <c r="Z229" s="10" t="str">
        <f>"Community Services"</f>
        <v>Community Services</v>
      </c>
      <c r="AA229" s="10" t="str">
        <f t="shared" si="156"/>
        <v>Operations and Delivery</v>
      </c>
      <c r="AB229" s="10" t="str">
        <f t="shared" si="157"/>
        <v>5oad</v>
      </c>
      <c r="AD229" s="10" t="str">
        <f>"oad01"</f>
        <v>oad01</v>
      </c>
      <c r="AE229" s="10" t="str">
        <f t="shared" si="158"/>
        <v>Finance &amp; Procurement / Head of Finance &amp; Procurement</v>
      </c>
      <c r="AG229" s="10" t="str">
        <f>"27010/1720"</f>
        <v>27010/1720</v>
      </c>
      <c r="AI229" s="10" t="str">
        <f>"17tpp"</f>
        <v>17tpp</v>
      </c>
      <c r="AJ229" s="15" t="str">
        <f>"Parking Collections Monies for year ending 2017"</f>
        <v>Parking Collections Monies for year ending 2017</v>
      </c>
      <c r="AK229" s="10" t="str">
        <f t="shared" si="159"/>
        <v>Revenue</v>
      </c>
      <c r="AL229" s="10" t="str">
        <f>""</f>
        <v/>
      </c>
      <c r="AM229" s="10" t="str">
        <f>""</f>
        <v/>
      </c>
      <c r="AN229" s="10" t="str">
        <f>""</f>
        <v/>
      </c>
      <c r="AO229" s="10" t="str">
        <f>""</f>
        <v/>
      </c>
    </row>
    <row r="230" spans="1:41" s="10" customFormat="1" ht="409.6">
      <c r="A230" s="9"/>
      <c r="B230" s="9"/>
      <c r="C230" s="9"/>
      <c r="D230" s="10" t="str">
        <f>"30577"</f>
        <v>30577</v>
      </c>
      <c r="E230" s="11" t="str">
        <f>""</f>
        <v/>
      </c>
      <c r="F230" s="11" t="str">
        <f t="shared" si="160"/>
        <v>372418</v>
      </c>
      <c r="G230" s="11" t="str">
        <f t="shared" si="161"/>
        <v>2017toJAN</v>
      </c>
      <c r="H230" s="11" t="str">
        <f t="shared" si="162"/>
        <v>CRSP06B</v>
      </c>
      <c r="I230" s="11" t="str">
        <f t="shared" si="163"/>
        <v>34</v>
      </c>
      <c r="J230" s="11" t="str">
        <f t="shared" si="164"/>
        <v>Creditor</v>
      </c>
      <c r="K230" s="11" t="str">
        <f>"CS002996"</f>
        <v>CS002996</v>
      </c>
      <c r="L230" s="10" t="str">
        <f>"Julia Jones HR Limited"</f>
        <v>Julia Jones HR Limited</v>
      </c>
      <c r="M230" s="12" t="str">
        <f>"10/01/2017 00:00:00"</f>
        <v>10/01/2017 00:00:00</v>
      </c>
      <c r="N230" s="12">
        <v>42745</v>
      </c>
      <c r="O230" s="10" t="str">
        <f>"C007179"</f>
        <v>C007179</v>
      </c>
      <c r="P230" s="13">
        <v>8450</v>
      </c>
      <c r="Q230" s="11" t="str">
        <f>"8450.0000"</f>
        <v>8450.0000</v>
      </c>
      <c r="R230" s="10" t="str">
        <f>"059228"</f>
        <v>059228</v>
      </c>
      <c r="S230" s="14" t="str">
        <f>"8450.0000"</f>
        <v>8450.0000</v>
      </c>
      <c r="T230" s="10">
        <v>21730</v>
      </c>
      <c r="U230" s="10">
        <v>1162</v>
      </c>
      <c r="V230" s="10" t="str">
        <f>"Indirect employee expenses"</f>
        <v>Indirect employee expenses</v>
      </c>
      <c r="W230" s="10" t="str">
        <f>"Employees"</f>
        <v>Employees</v>
      </c>
      <c r="X230" s="10" t="str">
        <f>VLOOKUP(U230,'[1]Account code lookup'!A:B,2,0)</f>
        <v>Training</v>
      </c>
      <c r="Z230" s="10" t="str">
        <f>"Human Resources"</f>
        <v>Human Resources</v>
      </c>
      <c r="AA230" s="10" t="str">
        <f>"Commercial Development"</f>
        <v>Commercial Development</v>
      </c>
      <c r="AB230" s="10" t="str">
        <f>"2cdb"</f>
        <v>2cdb</v>
      </c>
      <c r="AD230" s="10" t="str">
        <f>"cdb03"</f>
        <v>cdb03</v>
      </c>
      <c r="AE230" s="10" t="str">
        <f>"Finance &amp; Procurement / Head of Finance &amp; Procurement"</f>
        <v>Finance &amp; Procurement / Head of Finance &amp; Procurement</v>
      </c>
      <c r="AG230" s="10" t="str">
        <f>"21730/1162"</f>
        <v>21730/1162</v>
      </c>
      <c r="AI230" s="10" t="str">
        <f>"11emps"</f>
        <v>11emps</v>
      </c>
      <c r="AJ230" s="15" t="str">
        <f>"Fees for November"</f>
        <v>Fees for November</v>
      </c>
      <c r="AK230" s="10" t="str">
        <f t="shared" ref="AK230:AK235" si="165">"Revenue"</f>
        <v>Revenue</v>
      </c>
      <c r="AL230" s="10" t="str">
        <f>""</f>
        <v/>
      </c>
      <c r="AM230" s="10" t="str">
        <f>""</f>
        <v/>
      </c>
      <c r="AN230" s="10" t="str">
        <f>""</f>
        <v/>
      </c>
      <c r="AO230" s="10" t="str">
        <f>""</f>
        <v/>
      </c>
    </row>
    <row r="231" spans="1:41" s="10" customFormat="1" ht="409.6">
      <c r="A231" s="9"/>
      <c r="B231" s="9"/>
      <c r="C231" s="9"/>
      <c r="D231" s="10" t="str">
        <f>"30578"</f>
        <v>30578</v>
      </c>
      <c r="E231" s="11" t="str">
        <f>""</f>
        <v/>
      </c>
      <c r="F231" s="11" t="str">
        <f t="shared" si="160"/>
        <v>372418</v>
      </c>
      <c r="G231" s="11" t="str">
        <f t="shared" si="161"/>
        <v>2017toJAN</v>
      </c>
      <c r="H231" s="11" t="str">
        <f t="shared" si="162"/>
        <v>CRSP06B</v>
      </c>
      <c r="I231" s="11" t="str">
        <f t="shared" si="163"/>
        <v>34</v>
      </c>
      <c r="J231" s="11" t="str">
        <f t="shared" si="164"/>
        <v>Creditor</v>
      </c>
      <c r="K231" s="11" t="str">
        <f>"CS002996"</f>
        <v>CS002996</v>
      </c>
      <c r="L231" s="10" t="str">
        <f>"Julia Jones HR Limited"</f>
        <v>Julia Jones HR Limited</v>
      </c>
      <c r="M231" s="12" t="str">
        <f>"26/01/2017 00:00:00"</f>
        <v>26/01/2017 00:00:00</v>
      </c>
      <c r="N231" s="12">
        <v>42761</v>
      </c>
      <c r="O231" s="10" t="str">
        <f>"C007803"</f>
        <v>C007803</v>
      </c>
      <c r="P231" s="13">
        <v>8450</v>
      </c>
      <c r="Q231" s="11" t="str">
        <f>"8450.0000"</f>
        <v>8450.0000</v>
      </c>
      <c r="R231" s="10" t="str">
        <f>"059263"</f>
        <v>059263</v>
      </c>
      <c r="S231" s="14" t="str">
        <f>"8450.0000"</f>
        <v>8450.0000</v>
      </c>
      <c r="T231" s="10">
        <v>21730</v>
      </c>
      <c r="U231" s="10">
        <v>1162</v>
      </c>
      <c r="V231" s="10" t="str">
        <f>"Indirect employee expenses"</f>
        <v>Indirect employee expenses</v>
      </c>
      <c r="W231" s="10" t="str">
        <f>"Employees"</f>
        <v>Employees</v>
      </c>
      <c r="X231" s="10" t="str">
        <f>VLOOKUP(U231,'[1]Account code lookup'!A:B,2,0)</f>
        <v>Training</v>
      </c>
      <c r="Z231" s="10" t="str">
        <f>"Human Resources"</f>
        <v>Human Resources</v>
      </c>
      <c r="AA231" s="10" t="str">
        <f>"Commercial Development"</f>
        <v>Commercial Development</v>
      </c>
      <c r="AB231" s="10" t="str">
        <f>"2cdb"</f>
        <v>2cdb</v>
      </c>
      <c r="AD231" s="10" t="str">
        <f>"cdb03"</f>
        <v>cdb03</v>
      </c>
      <c r="AE231" s="10" t="str">
        <f>"Finance &amp; Procurement / Head of Finance &amp; Procurement"</f>
        <v>Finance &amp; Procurement / Head of Finance &amp; Procurement</v>
      </c>
      <c r="AG231" s="10" t="str">
        <f>"21730/1162"</f>
        <v>21730/1162</v>
      </c>
      <c r="AI231" s="10" t="str">
        <f>"11emps"</f>
        <v>11emps</v>
      </c>
      <c r="AJ231" s="15" t="str">
        <f>"Fees for December"</f>
        <v>Fees for December</v>
      </c>
      <c r="AK231" s="10" t="str">
        <f t="shared" si="165"/>
        <v>Revenue</v>
      </c>
      <c r="AL231" s="10" t="str">
        <f>""</f>
        <v/>
      </c>
      <c r="AM231" s="10" t="str">
        <f>""</f>
        <v/>
      </c>
      <c r="AN231" s="10" t="str">
        <f>""</f>
        <v/>
      </c>
      <c r="AO231" s="10" t="str">
        <f>""</f>
        <v/>
      </c>
    </row>
    <row r="232" spans="1:41" s="10" customFormat="1" ht="409.6">
      <c r="A232" s="9"/>
      <c r="B232" s="9"/>
      <c r="C232" s="9"/>
      <c r="D232" s="10" t="str">
        <f>"30580"</f>
        <v>30580</v>
      </c>
      <c r="E232" s="11" t="str">
        <f>""</f>
        <v/>
      </c>
      <c r="F232" s="11" t="str">
        <f t="shared" si="160"/>
        <v>372418</v>
      </c>
      <c r="G232" s="11" t="str">
        <f t="shared" si="161"/>
        <v>2017toJAN</v>
      </c>
      <c r="H232" s="11" t="str">
        <f t="shared" si="162"/>
        <v>CRSP06B</v>
      </c>
      <c r="I232" s="11" t="str">
        <f t="shared" si="163"/>
        <v>34</v>
      </c>
      <c r="J232" s="11" t="str">
        <f t="shared" si="164"/>
        <v>Creditor</v>
      </c>
      <c r="K232" s="11" t="str">
        <f>"CS002310"</f>
        <v>CS002310</v>
      </c>
      <c r="L232" s="10" t="str">
        <f>"K Garvey "</f>
        <v xml:space="preserve">K Garvey </v>
      </c>
      <c r="M232" s="12" t="str">
        <f>"26/01/2017 00:00:00"</f>
        <v>26/01/2017 00:00:00</v>
      </c>
      <c r="N232" s="12">
        <v>42761</v>
      </c>
      <c r="O232" s="10" t="str">
        <f>"C007533"</f>
        <v>C007533</v>
      </c>
      <c r="P232" s="13">
        <v>500</v>
      </c>
      <c r="Q232" s="11" t="str">
        <f>"500.0000"</f>
        <v>500.0000</v>
      </c>
      <c r="R232" s="10" t="str">
        <f>"059261"</f>
        <v>059261</v>
      </c>
      <c r="S232" s="14" t="str">
        <f>"600.0000"</f>
        <v>600.0000</v>
      </c>
      <c r="T232" s="10">
        <v>21754</v>
      </c>
      <c r="U232" s="10">
        <v>1764</v>
      </c>
      <c r="V232" s="10" t="str">
        <f>"Professional Fees"</f>
        <v>Professional Fees</v>
      </c>
      <c r="W232" s="10" t="str">
        <f>"Third Party Payments"</f>
        <v>Third Party Payments</v>
      </c>
      <c r="X232" s="10" t="str">
        <f>VLOOKUP(U232,'[1]Account code lookup'!A:B,2,0)</f>
        <v>Counsel Fees</v>
      </c>
      <c r="Z232" s="10" t="str">
        <f>"Law and Governance"</f>
        <v>Law and Governance</v>
      </c>
      <c r="AA232" s="10" t="str">
        <f>"Strategy and Commissioning"</f>
        <v>Strategy and Commissioning</v>
      </c>
      <c r="AB232" s="10" t="str">
        <f>"4sac"</f>
        <v>4sac</v>
      </c>
      <c r="AD232" s="10" t="str">
        <f>"sac07"</f>
        <v>sac07</v>
      </c>
      <c r="AE232" s="10" t="str">
        <f>"Law &amp; Governance / Legal"</f>
        <v>Law &amp; Governance / Legal</v>
      </c>
      <c r="AG232" s="10" t="str">
        <f>"21754/1764"</f>
        <v>21754/1764</v>
      </c>
      <c r="AI232" s="10" t="str">
        <f>"17tpp"</f>
        <v>17tpp</v>
      </c>
      <c r="AJ232" s="15" t="str">
        <f>"Keepers Cottage - Advice"</f>
        <v>Keepers Cottage - Advice</v>
      </c>
      <c r="AK232" s="10" t="str">
        <f t="shared" si="165"/>
        <v>Revenue</v>
      </c>
      <c r="AL232" s="10" t="str">
        <f>""</f>
        <v/>
      </c>
      <c r="AM232" s="10" t="str">
        <f>""</f>
        <v/>
      </c>
      <c r="AN232" s="10" t="str">
        <f>""</f>
        <v/>
      </c>
      <c r="AO232" s="10" t="str">
        <f>""</f>
        <v/>
      </c>
    </row>
    <row r="233" spans="1:41" s="10" customFormat="1" ht="409.6">
      <c r="A233" s="9"/>
      <c r="B233" s="9"/>
      <c r="C233" s="9"/>
      <c r="D233" s="10" t="str">
        <f>"30581"</f>
        <v>30581</v>
      </c>
      <c r="E233" s="11" t="str">
        <f>""</f>
        <v/>
      </c>
      <c r="F233" s="11" t="str">
        <f t="shared" si="160"/>
        <v>372418</v>
      </c>
      <c r="G233" s="11" t="str">
        <f t="shared" si="161"/>
        <v>2017toJAN</v>
      </c>
      <c r="H233" s="11" t="str">
        <f t="shared" si="162"/>
        <v>CRSP06B</v>
      </c>
      <c r="I233" s="11" t="str">
        <f t="shared" si="163"/>
        <v>34</v>
      </c>
      <c r="J233" s="11" t="str">
        <f t="shared" si="164"/>
        <v>Creditor</v>
      </c>
      <c r="K233" s="11" t="str">
        <f>"CS000676"</f>
        <v>CS000676</v>
      </c>
      <c r="L233" s="10" t="str">
        <f>"Kall Kwik Centre 1233"</f>
        <v>Kall Kwik Centre 1233</v>
      </c>
      <c r="M233" s="12" t="str">
        <f>"20/01/2017 00:00:00"</f>
        <v>20/01/2017 00:00:00</v>
      </c>
      <c r="N233" s="12">
        <v>42755</v>
      </c>
      <c r="O233" s="10" t="str">
        <f>"C008037"</f>
        <v>C008037</v>
      </c>
      <c r="P233" s="13">
        <v>1270</v>
      </c>
      <c r="Q233" s="11" t="str">
        <f>"1270.0000"</f>
        <v>1270.0000</v>
      </c>
      <c r="R233" s="10" t="str">
        <f>"C0004493"</f>
        <v>C0004493</v>
      </c>
      <c r="S233" s="14" t="str">
        <f>"11574.5800"</f>
        <v>11574.5800</v>
      </c>
      <c r="T233" s="10">
        <v>29210</v>
      </c>
      <c r="U233" s="10">
        <v>1440</v>
      </c>
      <c r="V233" s="10" t="str">
        <f>"Printing Stationery &amp; Off Supp"</f>
        <v>Printing Stationery &amp; Off Supp</v>
      </c>
      <c r="W233" s="10" t="str">
        <f>"Supplies and Services"</f>
        <v>Supplies and Services</v>
      </c>
      <c r="X233" s="10" t="str">
        <f>VLOOKUP(U233,'[1]Account code lookup'!A:B,2,0)</f>
        <v>Printing &amp; Photocopying - MFD</v>
      </c>
      <c r="Z233" s="10" t="str">
        <f>"Strategic Planning Economy"</f>
        <v>Strategic Planning Economy</v>
      </c>
      <c r="AA233" s="10" t="str">
        <f>"Strategy and Commissioning"</f>
        <v>Strategy and Commissioning</v>
      </c>
      <c r="AB233" s="10" t="str">
        <f>"4sac"</f>
        <v>4sac</v>
      </c>
      <c r="AD233" s="10" t="str">
        <f>"sac01"</f>
        <v>sac01</v>
      </c>
      <c r="AE233" s="10" t="str">
        <f>"Finance &amp; Procurement / Head of Finance &amp; Procurement"</f>
        <v>Finance &amp; Procurement / Head of Finance &amp; Procurement</v>
      </c>
      <c r="AG233" s="10" t="str">
        <f>"29210/1440"</f>
        <v>29210/1440</v>
      </c>
      <c r="AI233" s="10" t="str">
        <f>"14suse"</f>
        <v>14suse</v>
      </c>
      <c r="AJ233" s="15" t="str">
        <f>""</f>
        <v/>
      </c>
      <c r="AK233" s="10" t="str">
        <f t="shared" si="165"/>
        <v>Revenue</v>
      </c>
      <c r="AL233" s="10" t="str">
        <f>""</f>
        <v/>
      </c>
      <c r="AM233" s="10" t="str">
        <f>""</f>
        <v/>
      </c>
      <c r="AN233" s="10" t="str">
        <f>""</f>
        <v/>
      </c>
      <c r="AO233" s="10" t="str">
        <f>""</f>
        <v/>
      </c>
    </row>
    <row r="234" spans="1:41" s="10" customFormat="1" ht="409.6">
      <c r="A234" s="9"/>
      <c r="B234" s="9"/>
      <c r="C234" s="9"/>
      <c r="D234" s="10" t="str">
        <f>"30582"</f>
        <v>30582</v>
      </c>
      <c r="E234" s="11" t="str">
        <f>""</f>
        <v/>
      </c>
      <c r="F234" s="11" t="str">
        <f t="shared" si="160"/>
        <v>372418</v>
      </c>
      <c r="G234" s="11" t="str">
        <f t="shared" si="161"/>
        <v>2017toJAN</v>
      </c>
      <c r="H234" s="11" t="str">
        <f t="shared" si="162"/>
        <v>CRSP06B</v>
      </c>
      <c r="I234" s="11" t="str">
        <f t="shared" si="163"/>
        <v>34</v>
      </c>
      <c r="J234" s="11" t="str">
        <f t="shared" si="164"/>
        <v>Creditor</v>
      </c>
      <c r="K234" s="11" t="str">
        <f>"CS000676"</f>
        <v>CS000676</v>
      </c>
      <c r="L234" s="10" t="str">
        <f>"Kall Kwik Centre 1233"</f>
        <v>Kall Kwik Centre 1233</v>
      </c>
      <c r="M234" s="12" t="str">
        <f>"20/01/2017 00:00:00"</f>
        <v>20/01/2017 00:00:00</v>
      </c>
      <c r="N234" s="12">
        <v>42755</v>
      </c>
      <c r="O234" s="10" t="str">
        <f>"C008037"</f>
        <v>C008037</v>
      </c>
      <c r="P234" s="13">
        <v>8587.15</v>
      </c>
      <c r="Q234" s="11" t="str">
        <f>"8587.1500"</f>
        <v>8587.1500</v>
      </c>
      <c r="R234" s="10" t="str">
        <f>"C0004493"</f>
        <v>C0004493</v>
      </c>
      <c r="S234" s="14" t="str">
        <f>"11574.5800"</f>
        <v>11574.5800</v>
      </c>
      <c r="T234" s="10">
        <v>29210</v>
      </c>
      <c r="U234" s="10">
        <v>1440</v>
      </c>
      <c r="V234" s="10" t="str">
        <f>"Printing Stationery &amp; Off Supp"</f>
        <v>Printing Stationery &amp; Off Supp</v>
      </c>
      <c r="W234" s="10" t="str">
        <f>"Supplies and Services"</f>
        <v>Supplies and Services</v>
      </c>
      <c r="X234" s="10" t="str">
        <f>VLOOKUP(U234,'[1]Account code lookup'!A:B,2,0)</f>
        <v>Printing &amp; Photocopying - MFD</v>
      </c>
      <c r="Z234" s="10" t="str">
        <f>"Strategic Planning Economy"</f>
        <v>Strategic Planning Economy</v>
      </c>
      <c r="AA234" s="10" t="str">
        <f>"Strategy and Commissioning"</f>
        <v>Strategy and Commissioning</v>
      </c>
      <c r="AB234" s="10" t="str">
        <f>"4sac"</f>
        <v>4sac</v>
      </c>
      <c r="AD234" s="10" t="str">
        <f>"sac01"</f>
        <v>sac01</v>
      </c>
      <c r="AE234" s="10" t="str">
        <f>"Finance &amp; Procurement / Head of Finance &amp; Procurement"</f>
        <v>Finance &amp; Procurement / Head of Finance &amp; Procurement</v>
      </c>
      <c r="AG234" s="10" t="str">
        <f>"29210/1440"</f>
        <v>29210/1440</v>
      </c>
      <c r="AI234" s="10" t="str">
        <f>"14suse"</f>
        <v>14suse</v>
      </c>
      <c r="AJ234" s="15" t="str">
        <f>"Printing (Planning Policy)"</f>
        <v>Printing (Planning Policy)</v>
      </c>
      <c r="AK234" s="10" t="str">
        <f t="shared" si="165"/>
        <v>Revenue</v>
      </c>
      <c r="AL234" s="10" t="str">
        <f>""</f>
        <v/>
      </c>
      <c r="AM234" s="10" t="str">
        <f>""</f>
        <v/>
      </c>
      <c r="AN234" s="10" t="str">
        <f>""</f>
        <v/>
      </c>
      <c r="AO234" s="10" t="str">
        <f>""</f>
        <v/>
      </c>
    </row>
    <row r="235" spans="1:41" s="10" customFormat="1" ht="409.6">
      <c r="A235" s="9"/>
      <c r="B235" s="9"/>
      <c r="C235" s="9"/>
      <c r="D235" s="10" t="str">
        <f>"30709"</f>
        <v>30709</v>
      </c>
      <c r="E235" s="11" t="str">
        <f>""</f>
        <v/>
      </c>
      <c r="F235" s="11" t="str">
        <f t="shared" si="160"/>
        <v>372418</v>
      </c>
      <c r="G235" s="11" t="str">
        <f t="shared" si="161"/>
        <v>2017toJAN</v>
      </c>
      <c r="H235" s="11" t="str">
        <f t="shared" si="162"/>
        <v>CRSP06B</v>
      </c>
      <c r="I235" s="11" t="str">
        <f t="shared" si="163"/>
        <v>34</v>
      </c>
      <c r="J235" s="11" t="str">
        <f t="shared" si="164"/>
        <v>Creditor</v>
      </c>
      <c r="K235" s="11" t="str">
        <f>"CS000676"</f>
        <v>CS000676</v>
      </c>
      <c r="L235" s="10" t="str">
        <f>"Kall Kwik Centre 1233"</f>
        <v>Kall Kwik Centre 1233</v>
      </c>
      <c r="M235" s="12" t="str">
        <f>"25/01/2017 00:00:00"</f>
        <v>25/01/2017 00:00:00</v>
      </c>
      <c r="N235" s="12">
        <v>42760</v>
      </c>
      <c r="O235" s="10" t="str">
        <f>"C006814"</f>
        <v>C006814</v>
      </c>
      <c r="P235" s="13">
        <v>1137.5</v>
      </c>
      <c r="Q235" s="11" t="str">
        <f>"1137.5000"</f>
        <v>1137.5000</v>
      </c>
      <c r="R235" s="10" t="str">
        <f>"C0004553"</f>
        <v>C0004553</v>
      </c>
      <c r="S235" s="14" t="str">
        <f>"1365.0000"</f>
        <v>1365.0000</v>
      </c>
      <c r="T235" s="10">
        <v>29200</v>
      </c>
      <c r="U235" s="10">
        <v>1440</v>
      </c>
      <c r="V235" s="10" t="str">
        <f>"Printing Stationery &amp; Off Supp"</f>
        <v>Printing Stationery &amp; Off Supp</v>
      </c>
      <c r="W235" s="10" t="str">
        <f>"Supplies and Services"</f>
        <v>Supplies and Services</v>
      </c>
      <c r="X235" s="10" t="str">
        <f>VLOOKUP(U235,'[1]Account code lookup'!A:B,2,0)</f>
        <v>Printing &amp; Photocopying - MFD</v>
      </c>
      <c r="Z235" s="10" t="str">
        <f>"Strategic Planning Economy"</f>
        <v>Strategic Planning Economy</v>
      </c>
      <c r="AA235" s="10" t="str">
        <f>"Strategy and Commissioning"</f>
        <v>Strategy and Commissioning</v>
      </c>
      <c r="AB235" s="10" t="str">
        <f>"4sac"</f>
        <v>4sac</v>
      </c>
      <c r="AD235" s="10" t="str">
        <f>"sac01"</f>
        <v>sac01</v>
      </c>
      <c r="AE235" s="10" t="str">
        <f>"Strategic Planning &amp; the Economy / Planning &amp; The Economy"</f>
        <v>Strategic Planning &amp; the Economy / Planning &amp; The Economy</v>
      </c>
      <c r="AG235" s="10" t="str">
        <f>"29200/1440"</f>
        <v>29200/1440</v>
      </c>
      <c r="AI235" s="10" t="str">
        <f>"14suse"</f>
        <v>14suse</v>
      </c>
      <c r="AJ235" s="15" t="str">
        <f>""</f>
        <v/>
      </c>
      <c r="AK235" s="10" t="str">
        <f t="shared" si="165"/>
        <v>Revenue</v>
      </c>
      <c r="AL235" s="10" t="str">
        <f>""</f>
        <v/>
      </c>
      <c r="AM235" s="10" t="str">
        <f>""</f>
        <v/>
      </c>
      <c r="AN235" s="10" t="str">
        <f>""</f>
        <v/>
      </c>
      <c r="AO235" s="10" t="str">
        <f>""</f>
        <v/>
      </c>
    </row>
    <row r="236" spans="1:41" s="10" customFormat="1" ht="409.6">
      <c r="A236" s="9"/>
      <c r="B236" s="9"/>
      <c r="C236" s="9"/>
      <c r="D236" s="10" t="str">
        <f>"30710"</f>
        <v>30710</v>
      </c>
      <c r="E236" s="11" t="str">
        <f>""</f>
        <v/>
      </c>
      <c r="F236" s="11" t="str">
        <f t="shared" si="160"/>
        <v>372418</v>
      </c>
      <c r="G236" s="11" t="str">
        <f t="shared" si="161"/>
        <v>2017toJAN</v>
      </c>
      <c r="H236" s="11" t="str">
        <f t="shared" si="162"/>
        <v>CRSP06B</v>
      </c>
      <c r="I236" s="11" t="str">
        <f t="shared" si="163"/>
        <v>34</v>
      </c>
      <c r="J236" s="11" t="str">
        <f t="shared" si="164"/>
        <v>Creditor</v>
      </c>
      <c r="K236" s="11" t="str">
        <f t="shared" ref="K236:K243" si="166">"CS002606"</f>
        <v>CS002606</v>
      </c>
      <c r="L236" s="10" t="str">
        <f t="shared" ref="L236:L243" si="167">"Keepmoat "</f>
        <v xml:space="preserve">Keepmoat </v>
      </c>
      <c r="M236" s="12" t="str">
        <f>"13/01/2017 00:00:00"</f>
        <v>13/01/2017 00:00:00</v>
      </c>
      <c r="N236" s="12">
        <v>42748</v>
      </c>
      <c r="O236" s="10" t="str">
        <f>"C007874"</f>
        <v>C007874</v>
      </c>
      <c r="P236" s="13">
        <v>11129</v>
      </c>
      <c r="Q236" s="11" t="str">
        <f>"11129.0000"</f>
        <v>11129.0000</v>
      </c>
      <c r="R236" s="10" t="str">
        <f>"C0004421"</f>
        <v>C0004421</v>
      </c>
      <c r="S236" s="14" t="str">
        <f>"268256.0000"</f>
        <v>268256.0000</v>
      </c>
      <c r="T236" s="10">
        <v>40106</v>
      </c>
      <c r="U236" s="10">
        <v>4100</v>
      </c>
      <c r="V236" s="10" t="str">
        <f t="shared" ref="V236:W243" si="168">"Capital Works"</f>
        <v>Capital Works</v>
      </c>
      <c r="W236" s="10" t="str">
        <f t="shared" si="168"/>
        <v>Capital Works</v>
      </c>
      <c r="X236" s="10" t="str">
        <f>VLOOKUP(U236,'[1]Account code lookup'!A:B,2,0)</f>
        <v>Contractors Capital Payments</v>
      </c>
      <c r="Z236" s="10" t="str">
        <f>"Capital Regen and Housing"</f>
        <v>Capital Regen and Housing</v>
      </c>
      <c r="AA236" s="10" t="str">
        <f>"Commercial Development Capital"</f>
        <v>Commercial Development Capital</v>
      </c>
      <c r="AB236" s="10" t="str">
        <f>"c2cdb"</f>
        <v>c2cdb</v>
      </c>
      <c r="AD236" s="10" t="str">
        <f>"ccdb02"</f>
        <v>ccdb02</v>
      </c>
      <c r="AE236" s="10" t="str">
        <f t="shared" ref="AE236:AE243" si="169">"Regeneration &amp; Housing / Delivery Team"</f>
        <v>Regeneration &amp; Housing / Delivery Team</v>
      </c>
      <c r="AG236" s="10" t="str">
        <f>"40106/4100"</f>
        <v>40106/4100</v>
      </c>
      <c r="AI236" s="10" t="str">
        <f t="shared" ref="AI236:AI243" si="170">"41cwrk"</f>
        <v>41cwrk</v>
      </c>
      <c r="AJ236" s="15" t="str">
        <f>"Main contractor for Coach House Mews._x000D_
£693,106.00 - currently outstanding_x000D_
£392,977.00 - future payments_x000D_
Original PO set up on Agresso but was not carried forward, hence request for new PO"</f>
        <v>Main contractor for Coach House Mews._x000D_
£693,106.00 - currently outstanding_x000D_
£392,977.00 - future payments_x000D_
Original PO set up on Agresso but was not carried forward, hence request for new PO</v>
      </c>
      <c r="AK236" s="10" t="str">
        <f t="shared" ref="AK236:AK243" si="171">"Capital"</f>
        <v>Capital</v>
      </c>
      <c r="AL236" s="10" t="str">
        <f>""</f>
        <v/>
      </c>
      <c r="AM236" s="10" t="str">
        <f>""</f>
        <v/>
      </c>
      <c r="AN236" s="10" t="str">
        <f>""</f>
        <v/>
      </c>
      <c r="AO236" s="10" t="str">
        <f>""</f>
        <v/>
      </c>
    </row>
    <row r="237" spans="1:41" s="10" customFormat="1" ht="409.6">
      <c r="A237" s="9"/>
      <c r="B237" s="9"/>
      <c r="C237" s="9"/>
      <c r="D237" s="10" t="str">
        <f>"30711"</f>
        <v>30711</v>
      </c>
      <c r="E237" s="11" t="str">
        <f>""</f>
        <v/>
      </c>
      <c r="F237" s="11" t="str">
        <f t="shared" si="160"/>
        <v>372418</v>
      </c>
      <c r="G237" s="11" t="str">
        <f t="shared" si="161"/>
        <v>2017toJAN</v>
      </c>
      <c r="H237" s="11" t="str">
        <f t="shared" si="162"/>
        <v>CRSP06B</v>
      </c>
      <c r="I237" s="11" t="str">
        <f t="shared" si="163"/>
        <v>34</v>
      </c>
      <c r="J237" s="11" t="str">
        <f t="shared" si="164"/>
        <v>Creditor</v>
      </c>
      <c r="K237" s="11" t="str">
        <f t="shared" si="166"/>
        <v>CS002606</v>
      </c>
      <c r="L237" s="10" t="str">
        <f t="shared" si="167"/>
        <v xml:space="preserve">Keepmoat </v>
      </c>
      <c r="M237" s="12" t="str">
        <f>"13/01/2017 00:00:00"</f>
        <v>13/01/2017 00:00:00</v>
      </c>
      <c r="N237" s="12">
        <v>42748</v>
      </c>
      <c r="O237" s="10" t="str">
        <f>"C007875"</f>
        <v>C007875</v>
      </c>
      <c r="P237" s="13">
        <v>257127</v>
      </c>
      <c r="Q237" s="11" t="str">
        <f>"257127.0000"</f>
        <v>257127.0000</v>
      </c>
      <c r="R237" s="10" t="str">
        <f>"C0004421"</f>
        <v>C0004421</v>
      </c>
      <c r="S237" s="14" t="str">
        <f>"268256.0000"</f>
        <v>268256.0000</v>
      </c>
      <c r="T237" s="10">
        <v>40106</v>
      </c>
      <c r="U237" s="10">
        <v>4100</v>
      </c>
      <c r="V237" s="10" t="str">
        <f t="shared" si="168"/>
        <v>Capital Works</v>
      </c>
      <c r="W237" s="10" t="str">
        <f t="shared" si="168"/>
        <v>Capital Works</v>
      </c>
      <c r="X237" s="10" t="str">
        <f>VLOOKUP(U237,'[1]Account code lookup'!A:B,2,0)</f>
        <v>Contractors Capital Payments</v>
      </c>
      <c r="Z237" s="10" t="str">
        <f>"Capital Regen and Housing"</f>
        <v>Capital Regen and Housing</v>
      </c>
      <c r="AA237" s="10" t="str">
        <f>"Commercial Development Capital"</f>
        <v>Commercial Development Capital</v>
      </c>
      <c r="AB237" s="10" t="str">
        <f>"c2cdb"</f>
        <v>c2cdb</v>
      </c>
      <c r="AD237" s="10" t="str">
        <f>"ccdb02"</f>
        <v>ccdb02</v>
      </c>
      <c r="AE237" s="10" t="str">
        <f t="shared" si="169"/>
        <v>Regeneration &amp; Housing / Delivery Team</v>
      </c>
      <c r="AG237" s="10" t="str">
        <f>"40106/4100"</f>
        <v>40106/4100</v>
      </c>
      <c r="AI237" s="10" t="str">
        <f t="shared" si="170"/>
        <v>41cwrk</v>
      </c>
      <c r="AJ237" s="15" t="str">
        <f>"Main contractor for Coach House Mews._x000D_
£693,106.00 - currently outstanding_x000D_
£392,977.00 - future payments_x000D_
Original PO set up on Agresso but was not carried forward, hence request for new PO"</f>
        <v>Main contractor for Coach House Mews._x000D_
£693,106.00 - currently outstanding_x000D_
£392,977.00 - future payments_x000D_
Original PO set up on Agresso but was not carried forward, hence request for new PO</v>
      </c>
      <c r="AK237" s="10" t="str">
        <f t="shared" si="171"/>
        <v>Capital</v>
      </c>
      <c r="AL237" s="10" t="str">
        <f>""</f>
        <v/>
      </c>
      <c r="AM237" s="10" t="str">
        <f>""</f>
        <v/>
      </c>
      <c r="AN237" s="10" t="str">
        <f>""</f>
        <v/>
      </c>
      <c r="AO237" s="10" t="str">
        <f>""</f>
        <v/>
      </c>
    </row>
    <row r="238" spans="1:41" s="10" customFormat="1" ht="409.6">
      <c r="A238" s="9"/>
      <c r="B238" s="9"/>
      <c r="C238" s="9"/>
      <c r="D238" s="10" t="str">
        <f>"30970"</f>
        <v>30970</v>
      </c>
      <c r="E238" s="11" t="str">
        <f>""</f>
        <v/>
      </c>
      <c r="F238" s="11" t="str">
        <f t="shared" si="160"/>
        <v>372418</v>
      </c>
      <c r="G238" s="11" t="str">
        <f t="shared" si="161"/>
        <v>2017toJAN</v>
      </c>
      <c r="H238" s="11" t="str">
        <f t="shared" si="162"/>
        <v>CRSP06B</v>
      </c>
      <c r="I238" s="11" t="str">
        <f t="shared" si="163"/>
        <v>34</v>
      </c>
      <c r="J238" s="11" t="str">
        <f t="shared" si="164"/>
        <v>Creditor</v>
      </c>
      <c r="K238" s="11" t="str">
        <f t="shared" si="166"/>
        <v>CS002606</v>
      </c>
      <c r="L238" s="10" t="str">
        <f t="shared" si="167"/>
        <v xml:space="preserve">Keepmoat </v>
      </c>
      <c r="M238" s="12" t="str">
        <f>"16/01/2017 00:00:00"</f>
        <v>16/01/2017 00:00:00</v>
      </c>
      <c r="N238" s="12">
        <v>42751</v>
      </c>
      <c r="O238" s="10" t="str">
        <f>"C007905"</f>
        <v>C007905</v>
      </c>
      <c r="P238" s="13">
        <v>220134</v>
      </c>
      <c r="Q238" s="11" t="str">
        <f>"220134.0000"</f>
        <v>220134.0000</v>
      </c>
      <c r="R238" s="10" t="str">
        <f>"C0004455"</f>
        <v>C0004455</v>
      </c>
      <c r="S238" s="14" t="str">
        <f>"649974.0000"</f>
        <v>649974.0000</v>
      </c>
      <c r="T238" s="10">
        <v>40106</v>
      </c>
      <c r="U238" s="10">
        <v>4100</v>
      </c>
      <c r="V238" s="10" t="str">
        <f t="shared" si="168"/>
        <v>Capital Works</v>
      </c>
      <c r="W238" s="10" t="str">
        <f t="shared" si="168"/>
        <v>Capital Works</v>
      </c>
      <c r="X238" s="10" t="str">
        <f>VLOOKUP(U238,'[1]Account code lookup'!A:B,2,0)</f>
        <v>Contractors Capital Payments</v>
      </c>
      <c r="Z238" s="10" t="str">
        <f>"Capital Regen and Housing"</f>
        <v>Capital Regen and Housing</v>
      </c>
      <c r="AA238" s="10" t="str">
        <f>"Commercial Development Capital"</f>
        <v>Commercial Development Capital</v>
      </c>
      <c r="AB238" s="10" t="str">
        <f>"c2cdb"</f>
        <v>c2cdb</v>
      </c>
      <c r="AD238" s="10" t="str">
        <f>"ccdb02"</f>
        <v>ccdb02</v>
      </c>
      <c r="AE238" s="10" t="str">
        <f t="shared" si="169"/>
        <v>Regeneration &amp; Housing / Delivery Team</v>
      </c>
      <c r="AG238" s="10" t="str">
        <f>"40106/4100"</f>
        <v>40106/4100</v>
      </c>
      <c r="AI238" s="10" t="str">
        <f t="shared" si="170"/>
        <v>41cwrk</v>
      </c>
      <c r="AJ238" s="15" t="str">
        <f>"Coach House Mews - 2nd phase finishing work_x000D_
Coach House Mews - £1,639,791.00"</f>
        <v>Coach House Mews - 2nd phase finishing work_x000D_
Coach House Mews - £1,639,791.00</v>
      </c>
      <c r="AK238" s="10" t="str">
        <f t="shared" si="171"/>
        <v>Capital</v>
      </c>
      <c r="AL238" s="10" t="str">
        <f>""</f>
        <v/>
      </c>
      <c r="AM238" s="10" t="str">
        <f>""</f>
        <v/>
      </c>
      <c r="AN238" s="10" t="str">
        <f>""</f>
        <v/>
      </c>
      <c r="AO238" s="10" t="str">
        <f>""</f>
        <v/>
      </c>
    </row>
    <row r="239" spans="1:41" s="10" customFormat="1" ht="409.6">
      <c r="A239" s="9"/>
      <c r="B239" s="9"/>
      <c r="C239" s="9"/>
      <c r="D239" s="10" t="str">
        <f>"30971"</f>
        <v>30971</v>
      </c>
      <c r="E239" s="11" t="str">
        <f>""</f>
        <v/>
      </c>
      <c r="F239" s="11" t="str">
        <f t="shared" si="160"/>
        <v>372418</v>
      </c>
      <c r="G239" s="11" t="str">
        <f t="shared" si="161"/>
        <v>2017toJAN</v>
      </c>
      <c r="H239" s="11" t="str">
        <f t="shared" si="162"/>
        <v>CRSP06B</v>
      </c>
      <c r="I239" s="11" t="str">
        <f t="shared" si="163"/>
        <v>34</v>
      </c>
      <c r="J239" s="11" t="str">
        <f t="shared" si="164"/>
        <v>Creditor</v>
      </c>
      <c r="K239" s="11" t="str">
        <f t="shared" si="166"/>
        <v>CS002606</v>
      </c>
      <c r="L239" s="10" t="str">
        <f t="shared" si="167"/>
        <v xml:space="preserve">Keepmoat </v>
      </c>
      <c r="M239" s="12" t="str">
        <f>"16/01/2017 00:00:00"</f>
        <v>16/01/2017 00:00:00</v>
      </c>
      <c r="N239" s="12">
        <v>42751</v>
      </c>
      <c r="O239" s="10" t="str">
        <f>"C007906"</f>
        <v>C007906</v>
      </c>
      <c r="P239" s="13">
        <v>4983</v>
      </c>
      <c r="Q239" s="11" t="str">
        <f>"4983.0000"</f>
        <v>4983.0000</v>
      </c>
      <c r="R239" s="10" t="str">
        <f>"C0004455"</f>
        <v>C0004455</v>
      </c>
      <c r="S239" s="14" t="str">
        <f>"649974.0000"</f>
        <v>649974.0000</v>
      </c>
      <c r="T239" s="10">
        <v>40106</v>
      </c>
      <c r="U239" s="10">
        <v>4100</v>
      </c>
      <c r="V239" s="10" t="str">
        <f t="shared" si="168"/>
        <v>Capital Works</v>
      </c>
      <c r="W239" s="10" t="str">
        <f t="shared" si="168"/>
        <v>Capital Works</v>
      </c>
      <c r="X239" s="10" t="str">
        <f>VLOOKUP(U239,'[1]Account code lookup'!A:B,2,0)</f>
        <v>Contractors Capital Payments</v>
      </c>
      <c r="Z239" s="10" t="str">
        <f>"Capital Regen and Housing"</f>
        <v>Capital Regen and Housing</v>
      </c>
      <c r="AA239" s="10" t="str">
        <f>"Commercial Development Capital"</f>
        <v>Commercial Development Capital</v>
      </c>
      <c r="AB239" s="10" t="str">
        <f>"c2cdb"</f>
        <v>c2cdb</v>
      </c>
      <c r="AD239" s="10" t="str">
        <f>"ccdb02"</f>
        <v>ccdb02</v>
      </c>
      <c r="AE239" s="10" t="str">
        <f t="shared" si="169"/>
        <v>Regeneration &amp; Housing / Delivery Team</v>
      </c>
      <c r="AG239" s="10" t="str">
        <f>"40106/4100"</f>
        <v>40106/4100</v>
      </c>
      <c r="AI239" s="10" t="str">
        <f t="shared" si="170"/>
        <v>41cwrk</v>
      </c>
      <c r="AJ239" s="15" t="str">
        <f>"Coach House Mews - 2nd phase finishing work_x000D_
Coach House Mews - £1,639,791.00"</f>
        <v>Coach House Mews - 2nd phase finishing work_x000D_
Coach House Mews - £1,639,791.00</v>
      </c>
      <c r="AK239" s="10" t="str">
        <f t="shared" si="171"/>
        <v>Capital</v>
      </c>
      <c r="AL239" s="10" t="str">
        <f>""</f>
        <v/>
      </c>
      <c r="AM239" s="10" t="str">
        <f>""</f>
        <v/>
      </c>
      <c r="AN239" s="10" t="str">
        <f>""</f>
        <v/>
      </c>
      <c r="AO239" s="10" t="str">
        <f>""</f>
        <v/>
      </c>
    </row>
    <row r="240" spans="1:41" s="10" customFormat="1" ht="409.6">
      <c r="A240" s="9"/>
      <c r="B240" s="9"/>
      <c r="C240" s="9"/>
      <c r="D240" s="10" t="str">
        <f>"30972"</f>
        <v>30972</v>
      </c>
      <c r="E240" s="11" t="str">
        <f>""</f>
        <v/>
      </c>
      <c r="F240" s="11" t="str">
        <f t="shared" si="160"/>
        <v>372418</v>
      </c>
      <c r="G240" s="11" t="str">
        <f t="shared" si="161"/>
        <v>2017toJAN</v>
      </c>
      <c r="H240" s="11" t="str">
        <f t="shared" si="162"/>
        <v>CRSP06B</v>
      </c>
      <c r="I240" s="11" t="str">
        <f t="shared" si="163"/>
        <v>34</v>
      </c>
      <c r="J240" s="11" t="str">
        <f t="shared" si="164"/>
        <v>Creditor</v>
      </c>
      <c r="K240" s="11" t="str">
        <f t="shared" si="166"/>
        <v>CS002606</v>
      </c>
      <c r="L240" s="10" t="str">
        <f t="shared" si="167"/>
        <v xml:space="preserve">Keepmoat </v>
      </c>
      <c r="M240" s="12" t="str">
        <f>"16/01/2017 00:00:00"</f>
        <v>16/01/2017 00:00:00</v>
      </c>
      <c r="N240" s="12">
        <v>42751</v>
      </c>
      <c r="O240" s="10" t="str">
        <f>"C007887"</f>
        <v>C007887</v>
      </c>
      <c r="P240" s="13">
        <v>232138</v>
      </c>
      <c r="Q240" s="11" t="str">
        <f>"232138.0000"</f>
        <v>232138.0000</v>
      </c>
      <c r="R240" s="10" t="str">
        <f>"C0004455"</f>
        <v>C0004455</v>
      </c>
      <c r="S240" s="14" t="str">
        <f>"649974.0000"</f>
        <v>649974.0000</v>
      </c>
      <c r="T240" s="10">
        <v>40106</v>
      </c>
      <c r="U240" s="10">
        <v>4100</v>
      </c>
      <c r="V240" s="10" t="str">
        <f t="shared" si="168"/>
        <v>Capital Works</v>
      </c>
      <c r="W240" s="10" t="str">
        <f t="shared" si="168"/>
        <v>Capital Works</v>
      </c>
      <c r="X240" s="10" t="str">
        <f>VLOOKUP(U240,'[1]Account code lookup'!A:B,2,0)</f>
        <v>Contractors Capital Payments</v>
      </c>
      <c r="Z240" s="10" t="str">
        <f>"Capital Regen and Housing"</f>
        <v>Capital Regen and Housing</v>
      </c>
      <c r="AA240" s="10" t="str">
        <f>"Commercial Development Capital"</f>
        <v>Commercial Development Capital</v>
      </c>
      <c r="AB240" s="10" t="str">
        <f>"c2cdb"</f>
        <v>c2cdb</v>
      </c>
      <c r="AD240" s="10" t="str">
        <f>"ccdb02"</f>
        <v>ccdb02</v>
      </c>
      <c r="AE240" s="10" t="str">
        <f t="shared" si="169"/>
        <v>Regeneration &amp; Housing / Delivery Team</v>
      </c>
      <c r="AG240" s="10" t="str">
        <f>"40106/4100"</f>
        <v>40106/4100</v>
      </c>
      <c r="AI240" s="10" t="str">
        <f t="shared" si="170"/>
        <v>41cwrk</v>
      </c>
      <c r="AJ240" s="15" t="str">
        <f>"Main contractor for Coach House Mews._x000D_
£693,106.00 - currently outstanding_x000D_
£392,977.00 - future payments_x000D_
Original PO set up on Agresso but was not carried forward, hence request for new PO"</f>
        <v>Main contractor for Coach House Mews._x000D_
£693,106.00 - currently outstanding_x000D_
£392,977.00 - future payments_x000D_
Original PO set up on Agresso but was not carried forward, hence request for new PO</v>
      </c>
      <c r="AK240" s="10" t="str">
        <f t="shared" si="171"/>
        <v>Capital</v>
      </c>
      <c r="AL240" s="10" t="str">
        <f>""</f>
        <v/>
      </c>
      <c r="AM240" s="10" t="str">
        <f>""</f>
        <v/>
      </c>
      <c r="AN240" s="10" t="str">
        <f>""</f>
        <v/>
      </c>
      <c r="AO240" s="10" t="str">
        <f>""</f>
        <v/>
      </c>
    </row>
    <row r="241" spans="1:41" s="10" customFormat="1" ht="409.6">
      <c r="A241" s="9"/>
      <c r="B241" s="9"/>
      <c r="C241" s="9"/>
      <c r="D241" s="10" t="str">
        <f>"30973"</f>
        <v>30973</v>
      </c>
      <c r="E241" s="11" t="str">
        <f>""</f>
        <v/>
      </c>
      <c r="F241" s="11" t="str">
        <f t="shared" si="160"/>
        <v>372418</v>
      </c>
      <c r="G241" s="11" t="str">
        <f t="shared" si="161"/>
        <v>2017toJAN</v>
      </c>
      <c r="H241" s="11" t="str">
        <f t="shared" si="162"/>
        <v>CRSP06B</v>
      </c>
      <c r="I241" s="11" t="str">
        <f t="shared" si="163"/>
        <v>34</v>
      </c>
      <c r="J241" s="11" t="str">
        <f t="shared" si="164"/>
        <v>Creditor</v>
      </c>
      <c r="K241" s="11" t="str">
        <f t="shared" si="166"/>
        <v>CS002606</v>
      </c>
      <c r="L241" s="10" t="str">
        <f t="shared" si="167"/>
        <v xml:space="preserve">Keepmoat </v>
      </c>
      <c r="M241" s="12" t="str">
        <f>"16/01/2017 00:00:00"</f>
        <v>16/01/2017 00:00:00</v>
      </c>
      <c r="N241" s="12">
        <v>42751</v>
      </c>
      <c r="O241" s="10" t="str">
        <f>"C007904"</f>
        <v>C007904</v>
      </c>
      <c r="P241" s="13">
        <v>192719</v>
      </c>
      <c r="Q241" s="11" t="str">
        <f>"192719.0000"</f>
        <v>192719.0000</v>
      </c>
      <c r="R241" s="10" t="str">
        <f>"C0004455"</f>
        <v>C0004455</v>
      </c>
      <c r="S241" s="14" t="str">
        <f>"649974.0000"</f>
        <v>649974.0000</v>
      </c>
      <c r="T241" s="10">
        <v>40124</v>
      </c>
      <c r="U241" s="10">
        <v>4100</v>
      </c>
      <c r="V241" s="10" t="str">
        <f t="shared" si="168"/>
        <v>Capital Works</v>
      </c>
      <c r="W241" s="10" t="str">
        <f t="shared" si="168"/>
        <v>Capital Works</v>
      </c>
      <c r="X241" s="10" t="str">
        <f>VLOOKUP(U241,'[1]Account code lookup'!A:B,2,0)</f>
        <v>Contractors Capital Payments</v>
      </c>
      <c r="Z241" s="10" t="str">
        <f>"Capital Community Services"</f>
        <v>Capital Community Services</v>
      </c>
      <c r="AA241" s="10" t="str">
        <f>"Operations and Delivery Cap"</f>
        <v>Operations and Delivery Cap</v>
      </c>
      <c r="AB241" s="10" t="str">
        <f>"c5oad"</f>
        <v>c5oad</v>
      </c>
      <c r="AD241" s="10" t="str">
        <f>"coad01"</f>
        <v>coad01</v>
      </c>
      <c r="AE241" s="10" t="str">
        <f t="shared" si="169"/>
        <v>Regeneration &amp; Housing / Delivery Team</v>
      </c>
      <c r="AG241" s="10" t="str">
        <f>"40124/4100"</f>
        <v>40124/4100</v>
      </c>
      <c r="AI241" s="10" t="str">
        <f t="shared" si="170"/>
        <v>41cwrk</v>
      </c>
      <c r="AJ241" s="15" t="str">
        <f>"Lincoln House (Sprig Gardens)_x000D_
2nd phase contract - finishing work_x000D_
Lincoln House - £1,046,508.00"</f>
        <v>Lincoln House (Sprig Gardens)_x000D_
2nd phase contract - finishing work_x000D_
Lincoln House - £1,046,508.00</v>
      </c>
      <c r="AK241" s="10" t="str">
        <f t="shared" si="171"/>
        <v>Capital</v>
      </c>
      <c r="AL241" s="10" t="str">
        <f>""</f>
        <v/>
      </c>
      <c r="AM241" s="10" t="str">
        <f>""</f>
        <v/>
      </c>
      <c r="AN241" s="10" t="str">
        <f>""</f>
        <v/>
      </c>
      <c r="AO241" s="10" t="str">
        <f>""</f>
        <v/>
      </c>
    </row>
    <row r="242" spans="1:41" s="10" customFormat="1" ht="409.6">
      <c r="A242" s="9"/>
      <c r="B242" s="9"/>
      <c r="C242" s="9"/>
      <c r="D242" s="10" t="str">
        <f>"32207"</f>
        <v>32207</v>
      </c>
      <c r="E242" s="11" t="str">
        <f>""</f>
        <v/>
      </c>
      <c r="F242" s="11" t="str">
        <f t="shared" si="160"/>
        <v>372418</v>
      </c>
      <c r="G242" s="11" t="str">
        <f t="shared" si="161"/>
        <v>2017toJAN</v>
      </c>
      <c r="H242" s="11" t="str">
        <f t="shared" si="162"/>
        <v>CRSP06B</v>
      </c>
      <c r="I242" s="11" t="str">
        <f t="shared" si="163"/>
        <v>34</v>
      </c>
      <c r="J242" s="11" t="str">
        <f t="shared" si="164"/>
        <v>Creditor</v>
      </c>
      <c r="K242" s="11" t="str">
        <f t="shared" si="166"/>
        <v>CS002606</v>
      </c>
      <c r="L242" s="10" t="str">
        <f t="shared" si="167"/>
        <v xml:space="preserve">Keepmoat </v>
      </c>
      <c r="M242" s="12" t="str">
        <f>"23/01/2017 00:00:00"</f>
        <v>23/01/2017 00:00:00</v>
      </c>
      <c r="N242" s="12">
        <v>42758</v>
      </c>
      <c r="O242" s="10" t="str">
        <f>"C008053"</f>
        <v>C008053</v>
      </c>
      <c r="P242" s="13">
        <v>305379</v>
      </c>
      <c r="Q242" s="11" t="str">
        <f>"305379.0000"</f>
        <v>305379.0000</v>
      </c>
      <c r="R242" s="10" t="str">
        <f>"C0004547"</f>
        <v>C0004547</v>
      </c>
      <c r="S242" s="14" t="str">
        <f>"398988.0000"</f>
        <v>398988.0000</v>
      </c>
      <c r="T242" s="10">
        <v>40124</v>
      </c>
      <c r="U242" s="10">
        <v>4100</v>
      </c>
      <c r="V242" s="10" t="str">
        <f t="shared" si="168"/>
        <v>Capital Works</v>
      </c>
      <c r="W242" s="10" t="str">
        <f t="shared" si="168"/>
        <v>Capital Works</v>
      </c>
      <c r="X242" s="10" t="str">
        <f>VLOOKUP(U242,'[1]Account code lookup'!A:B,2,0)</f>
        <v>Contractors Capital Payments</v>
      </c>
      <c r="Z242" s="10" t="str">
        <f>"Capital Community Services"</f>
        <v>Capital Community Services</v>
      </c>
      <c r="AA242" s="10" t="str">
        <f>"Operations and Delivery Cap"</f>
        <v>Operations and Delivery Cap</v>
      </c>
      <c r="AB242" s="10" t="str">
        <f>"c5oad"</f>
        <v>c5oad</v>
      </c>
      <c r="AD242" s="10" t="str">
        <f>"coad01"</f>
        <v>coad01</v>
      </c>
      <c r="AE242" s="10" t="str">
        <f t="shared" si="169"/>
        <v>Regeneration &amp; Housing / Delivery Team</v>
      </c>
      <c r="AG242" s="10" t="str">
        <f>"40124/4100"</f>
        <v>40124/4100</v>
      </c>
      <c r="AI242" s="10" t="str">
        <f t="shared" si="170"/>
        <v>41cwrk</v>
      </c>
      <c r="AJ242" s="15" t="str">
        <f>"Lincoln House (Sprig Gardens)_x000D_
2nd phase contract - finishing work_x000D_
Lincoln House - £1,046,508.00"</f>
        <v>Lincoln House (Sprig Gardens)_x000D_
2nd phase contract - finishing work_x000D_
Lincoln House - £1,046,508.00</v>
      </c>
      <c r="AK242" s="10" t="str">
        <f t="shared" si="171"/>
        <v>Capital</v>
      </c>
      <c r="AL242" s="10" t="str">
        <f>""</f>
        <v/>
      </c>
      <c r="AM242" s="10" t="str">
        <f>""</f>
        <v/>
      </c>
      <c r="AN242" s="10" t="str">
        <f>""</f>
        <v/>
      </c>
      <c r="AO242" s="10" t="str">
        <f>""</f>
        <v/>
      </c>
    </row>
    <row r="243" spans="1:41" s="10" customFormat="1" ht="409.6">
      <c r="A243" s="9"/>
      <c r="B243" s="9"/>
      <c r="C243" s="9"/>
      <c r="D243" s="10" t="str">
        <f>"32260"</f>
        <v>32260</v>
      </c>
      <c r="E243" s="11" t="str">
        <f>""</f>
        <v/>
      </c>
      <c r="F243" s="11" t="str">
        <f t="shared" si="160"/>
        <v>372418</v>
      </c>
      <c r="G243" s="11" t="str">
        <f t="shared" si="161"/>
        <v>2017toJAN</v>
      </c>
      <c r="H243" s="11" t="str">
        <f t="shared" si="162"/>
        <v>CRSP06B</v>
      </c>
      <c r="I243" s="11" t="str">
        <f t="shared" si="163"/>
        <v>34</v>
      </c>
      <c r="J243" s="11" t="str">
        <f t="shared" si="164"/>
        <v>Creditor</v>
      </c>
      <c r="K243" s="11" t="str">
        <f t="shared" si="166"/>
        <v>CS002606</v>
      </c>
      <c r="L243" s="10" t="str">
        <f t="shared" si="167"/>
        <v xml:space="preserve">Keepmoat </v>
      </c>
      <c r="M243" s="12" t="str">
        <f>"23/01/2017 00:00:00"</f>
        <v>23/01/2017 00:00:00</v>
      </c>
      <c r="N243" s="12">
        <v>42758</v>
      </c>
      <c r="O243" s="10" t="str">
        <f>"C007908"</f>
        <v>C007908</v>
      </c>
      <c r="P243" s="13">
        <v>93609</v>
      </c>
      <c r="Q243" s="11" t="str">
        <f>"93609.0000"</f>
        <v>93609.0000</v>
      </c>
      <c r="R243" s="10" t="str">
        <f>"C0004547"</f>
        <v>C0004547</v>
      </c>
      <c r="S243" s="14" t="str">
        <f>"398988.0000"</f>
        <v>398988.0000</v>
      </c>
      <c r="T243" s="10">
        <v>40124</v>
      </c>
      <c r="U243" s="10">
        <v>4100</v>
      </c>
      <c r="V243" s="10" t="str">
        <f t="shared" si="168"/>
        <v>Capital Works</v>
      </c>
      <c r="W243" s="10" t="str">
        <f t="shared" si="168"/>
        <v>Capital Works</v>
      </c>
      <c r="X243" s="10" t="str">
        <f>VLOOKUP(U243,'[1]Account code lookup'!A:B,2,0)</f>
        <v>Contractors Capital Payments</v>
      </c>
      <c r="Z243" s="10" t="str">
        <f>"Capital Community Services"</f>
        <v>Capital Community Services</v>
      </c>
      <c r="AA243" s="10" t="str">
        <f>"Operations and Delivery Cap"</f>
        <v>Operations and Delivery Cap</v>
      </c>
      <c r="AB243" s="10" t="str">
        <f>"c5oad"</f>
        <v>c5oad</v>
      </c>
      <c r="AD243" s="10" t="str">
        <f>"coad01"</f>
        <v>coad01</v>
      </c>
      <c r="AE243" s="10" t="str">
        <f t="shared" si="169"/>
        <v>Regeneration &amp; Housing / Delivery Team</v>
      </c>
      <c r="AG243" s="10" t="str">
        <f>"40124/4100"</f>
        <v>40124/4100</v>
      </c>
      <c r="AI243" s="10" t="str">
        <f t="shared" si="170"/>
        <v>41cwrk</v>
      </c>
      <c r="AJ243" s="15" t="str">
        <f>"Lincoln House (Sprig Gardens)2nd phase contract - finishing workLincoln House - £1,046,508.00"</f>
        <v>Lincoln House (Sprig Gardens)2nd phase contract - finishing workLincoln House - £1,046,508.00</v>
      </c>
      <c r="AK243" s="10" t="str">
        <f t="shared" si="171"/>
        <v>Capital</v>
      </c>
      <c r="AL243" s="10" t="str">
        <f>""</f>
        <v/>
      </c>
      <c r="AM243" s="10" t="str">
        <f>""</f>
        <v/>
      </c>
      <c r="AN243" s="10" t="str">
        <f>""</f>
        <v/>
      </c>
      <c r="AO243" s="10" t="str">
        <f>""</f>
        <v/>
      </c>
    </row>
    <row r="244" spans="1:41" s="10" customFormat="1" ht="409.6">
      <c r="A244" s="9"/>
      <c r="B244" s="9"/>
      <c r="C244" s="9"/>
      <c r="D244" s="10" t="str">
        <f>"32698"</f>
        <v>32698</v>
      </c>
      <c r="E244" s="11" t="str">
        <f>""</f>
        <v/>
      </c>
      <c r="F244" s="11" t="str">
        <f t="shared" si="160"/>
        <v>372418</v>
      </c>
      <c r="G244" s="11" t="str">
        <f t="shared" si="161"/>
        <v>2017toJAN</v>
      </c>
      <c r="H244" s="11" t="str">
        <f t="shared" si="162"/>
        <v>CRSP06B</v>
      </c>
      <c r="I244" s="11" t="str">
        <f t="shared" si="163"/>
        <v>34</v>
      </c>
      <c r="J244" s="11" t="str">
        <f t="shared" si="164"/>
        <v>Creditor</v>
      </c>
      <c r="K244" s="11" t="str">
        <f>"CS000598"</f>
        <v>CS000598</v>
      </c>
      <c r="L244" s="10" t="str">
        <f>"LexisNexis Butterworths Tolley"</f>
        <v>LexisNexis Butterworths Tolley</v>
      </c>
      <c r="M244" s="12" t="str">
        <f>"18/01/2017 00:00:00"</f>
        <v>18/01/2017 00:00:00</v>
      </c>
      <c r="N244" s="12">
        <v>42753</v>
      </c>
      <c r="O244" s="10" t="str">
        <f>"C007591"</f>
        <v>C007591</v>
      </c>
      <c r="P244" s="13">
        <v>1060.8</v>
      </c>
      <c r="Q244" s="11" t="str">
        <f>"1060.8000"</f>
        <v>1060.8000</v>
      </c>
      <c r="R244" s="10" t="str">
        <f>"C0004466"</f>
        <v>C0004466</v>
      </c>
      <c r="S244" s="14" t="str">
        <f>"1272.9600"</f>
        <v>1272.9600</v>
      </c>
      <c r="T244" s="10">
        <v>21100</v>
      </c>
      <c r="U244" s="10">
        <v>1445</v>
      </c>
      <c r="V244" s="10" t="str">
        <f>"Printing Stationery &amp; Off Supp"</f>
        <v>Printing Stationery &amp; Off Supp</v>
      </c>
      <c r="W244" s="10" t="str">
        <f>"Supplies and Services"</f>
        <v>Supplies and Services</v>
      </c>
      <c r="X244" s="10" t="str">
        <f>VLOOKUP(U244,'[1]Account code lookup'!A:B,2,0)</f>
        <v>Books &amp; Publications</v>
      </c>
      <c r="Z244" s="10" t="str">
        <f>"Law and Governance"</f>
        <v>Law and Governance</v>
      </c>
      <c r="AA244" s="10" t="str">
        <f>"Strategy and Commissioning"</f>
        <v>Strategy and Commissioning</v>
      </c>
      <c r="AB244" s="10" t="str">
        <f>"4sac"</f>
        <v>4sac</v>
      </c>
      <c r="AD244" s="10" t="str">
        <f>"sac07"</f>
        <v>sac07</v>
      </c>
      <c r="AE244" s="10" t="str">
        <f>"Law &amp; Governance / Legal"</f>
        <v>Law &amp; Governance / Legal</v>
      </c>
      <c r="AG244" s="10" t="str">
        <f>"21100/1445"</f>
        <v>21100/1445</v>
      </c>
      <c r="AI244" s="10" t="str">
        <f>"14suse"</f>
        <v>14suse</v>
      </c>
      <c r="AJ244" s="15" t="str">
        <f>"Parkers Year 2 of 3 year deal"</f>
        <v>Parkers Year 2 of 3 year deal</v>
      </c>
      <c r="AK244" s="10" t="str">
        <f>"Revenue"</f>
        <v>Revenue</v>
      </c>
      <c r="AL244" s="10" t="str">
        <f>""</f>
        <v/>
      </c>
      <c r="AM244" s="10" t="str">
        <f>""</f>
        <v/>
      </c>
      <c r="AN244" s="10" t="str">
        <f>""</f>
        <v/>
      </c>
      <c r="AO244" s="10" t="str">
        <f>""</f>
        <v/>
      </c>
    </row>
    <row r="245" spans="1:41" s="10" customFormat="1" ht="409.6">
      <c r="A245" s="9"/>
      <c r="B245" s="9"/>
      <c r="C245" s="9"/>
      <c r="D245" s="10" t="str">
        <f>"32699"</f>
        <v>32699</v>
      </c>
      <c r="E245" s="11" t="str">
        <f>""</f>
        <v/>
      </c>
      <c r="F245" s="11" t="str">
        <f t="shared" si="160"/>
        <v>372418</v>
      </c>
      <c r="G245" s="11" t="str">
        <f t="shared" si="161"/>
        <v>2017toJAN</v>
      </c>
      <c r="H245" s="11" t="str">
        <f t="shared" si="162"/>
        <v>CRSP06B</v>
      </c>
      <c r="I245" s="11" t="str">
        <f t="shared" si="163"/>
        <v>34</v>
      </c>
      <c r="J245" s="11" t="str">
        <f t="shared" si="164"/>
        <v>Creditor</v>
      </c>
      <c r="K245" s="11" t="str">
        <f>"CS003108"</f>
        <v>CS003108</v>
      </c>
      <c r="L245" s="10" t="str">
        <f>"Leys Longdon and Co"</f>
        <v>Leys Longdon and Co</v>
      </c>
      <c r="M245" s="12" t="str">
        <f>"26/01/2017 00:00:00"</f>
        <v>26/01/2017 00:00:00</v>
      </c>
      <c r="N245" s="12">
        <v>42761</v>
      </c>
      <c r="O245" s="10" t="str">
        <f>"C008083"</f>
        <v>C008083</v>
      </c>
      <c r="P245" s="13">
        <v>2200</v>
      </c>
      <c r="Q245" s="11" t="str">
        <f>"2200.0000"</f>
        <v>2200.0000</v>
      </c>
      <c r="R245" s="10" t="str">
        <f>"059269"</f>
        <v>059269</v>
      </c>
      <c r="S245" s="14" t="str">
        <f>"6600.0000"</f>
        <v>6600.0000</v>
      </c>
      <c r="T245" s="10">
        <v>40106</v>
      </c>
      <c r="U245" s="10">
        <v>4310</v>
      </c>
      <c r="V245" s="10" t="str">
        <f>"Other Fees (Capital)"</f>
        <v>Other Fees (Capital)</v>
      </c>
      <c r="W245" s="10" t="str">
        <f>"Professional Fees"</f>
        <v>Professional Fees</v>
      </c>
      <c r="X245" s="10" t="str">
        <f>VLOOKUP(U245,'[1]Account code lookup'!A:B,2,0)</f>
        <v>Other Prof.Fees (Capital)</v>
      </c>
      <c r="Z245" s="10" t="str">
        <f>"Capital Regen and Housing"</f>
        <v>Capital Regen and Housing</v>
      </c>
      <c r="AA245" s="10" t="str">
        <f>"Commercial Development Capital"</f>
        <v>Commercial Development Capital</v>
      </c>
      <c r="AB245" s="10" t="str">
        <f>"c2cdb"</f>
        <v>c2cdb</v>
      </c>
      <c r="AD245" s="10" t="str">
        <f>"ccdb02"</f>
        <v>ccdb02</v>
      </c>
      <c r="AE245" s="10" t="str">
        <f>"Regeneration &amp; Housing / Delivery Team"</f>
        <v>Regeneration &amp; Housing / Delivery Team</v>
      </c>
      <c r="AG245" s="10" t="str">
        <f>"40106/4310"</f>
        <v>40106/4310</v>
      </c>
      <c r="AI245" s="10" t="str">
        <f>"43pfee"</f>
        <v>43pfee</v>
      </c>
      <c r="AJ245" s="15" t="str">
        <f>"Valuation fees for 30 shared ownership properties_x000D_
Spring Gardens and Coach House Mews"</f>
        <v>Valuation fees for 30 shared ownership properties_x000D_
Spring Gardens and Coach House Mews</v>
      </c>
      <c r="AK245" s="10" t="str">
        <f>"Capital"</f>
        <v>Capital</v>
      </c>
      <c r="AL245" s="10" t="str">
        <f>""</f>
        <v/>
      </c>
      <c r="AM245" s="10" t="str">
        <f>""</f>
        <v/>
      </c>
      <c r="AN245" s="10" t="str">
        <f>""</f>
        <v/>
      </c>
      <c r="AO245" s="10" t="str">
        <f>""</f>
        <v/>
      </c>
    </row>
    <row r="246" spans="1:41" s="10" customFormat="1" ht="409.6">
      <c r="A246" s="9"/>
      <c r="B246" s="9"/>
      <c r="C246" s="9"/>
      <c r="D246" s="10" t="str">
        <f>"32700"</f>
        <v>32700</v>
      </c>
      <c r="E246" s="11" t="str">
        <f>""</f>
        <v/>
      </c>
      <c r="F246" s="11" t="str">
        <f t="shared" si="160"/>
        <v>372418</v>
      </c>
      <c r="G246" s="11" t="str">
        <f t="shared" si="161"/>
        <v>2017toJAN</v>
      </c>
      <c r="H246" s="11" t="str">
        <f t="shared" si="162"/>
        <v>CRSP06B</v>
      </c>
      <c r="I246" s="11" t="str">
        <f t="shared" si="163"/>
        <v>34</v>
      </c>
      <c r="J246" s="11" t="str">
        <f t="shared" si="164"/>
        <v>Creditor</v>
      </c>
      <c r="K246" s="11" t="str">
        <f>"CS003108"</f>
        <v>CS003108</v>
      </c>
      <c r="L246" s="10" t="str">
        <f>"Leys Longdon and Co"</f>
        <v>Leys Longdon and Co</v>
      </c>
      <c r="M246" s="12" t="str">
        <f>"26/01/2017 00:00:00"</f>
        <v>26/01/2017 00:00:00</v>
      </c>
      <c r="N246" s="12">
        <v>42761</v>
      </c>
      <c r="O246" s="10" t="str">
        <f>"C008083"</f>
        <v>C008083</v>
      </c>
      <c r="P246" s="13">
        <v>3300</v>
      </c>
      <c r="Q246" s="11" t="str">
        <f>"3300.0000"</f>
        <v>3300.0000</v>
      </c>
      <c r="R246" s="10" t="str">
        <f>"059269"</f>
        <v>059269</v>
      </c>
      <c r="S246" s="14" t="str">
        <f>"6600.0000"</f>
        <v>6600.0000</v>
      </c>
      <c r="T246" s="10">
        <v>40124</v>
      </c>
      <c r="U246" s="10">
        <v>4310</v>
      </c>
      <c r="V246" s="10" t="str">
        <f>"Other Fees (Capital)"</f>
        <v>Other Fees (Capital)</v>
      </c>
      <c r="W246" s="10" t="str">
        <f>"Professional Fees"</f>
        <v>Professional Fees</v>
      </c>
      <c r="X246" s="10" t="str">
        <f>VLOOKUP(U246,'[1]Account code lookup'!A:B,2,0)</f>
        <v>Other Prof.Fees (Capital)</v>
      </c>
      <c r="Z246" s="10" t="str">
        <f>"Capital Community Services"</f>
        <v>Capital Community Services</v>
      </c>
      <c r="AA246" s="10" t="str">
        <f>"Operations and Delivery Cap"</f>
        <v>Operations and Delivery Cap</v>
      </c>
      <c r="AB246" s="10" t="str">
        <f>"c5oad"</f>
        <v>c5oad</v>
      </c>
      <c r="AD246" s="10" t="str">
        <f>"coad01"</f>
        <v>coad01</v>
      </c>
      <c r="AE246" s="10" t="str">
        <f>"Regeneration &amp; Housing / Delivery Team"</f>
        <v>Regeneration &amp; Housing / Delivery Team</v>
      </c>
      <c r="AG246" s="10" t="str">
        <f>"40124/4310"</f>
        <v>40124/4310</v>
      </c>
      <c r="AI246" s="10" t="str">
        <f>"43pfee"</f>
        <v>43pfee</v>
      </c>
      <c r="AJ246" s="15" t="str">
        <f>"Valuation fees for 30 shared ownership properties_x000D_
Spring Gardens and Coach House Mews"</f>
        <v>Valuation fees for 30 shared ownership properties_x000D_
Spring Gardens and Coach House Mews</v>
      </c>
      <c r="AK246" s="10" t="str">
        <f>"Capital"</f>
        <v>Capital</v>
      </c>
      <c r="AL246" s="10" t="str">
        <f>""</f>
        <v/>
      </c>
      <c r="AM246" s="10" t="str">
        <f>""</f>
        <v/>
      </c>
      <c r="AN246" s="10" t="str">
        <f>""</f>
        <v/>
      </c>
      <c r="AO246" s="10" t="str">
        <f>""</f>
        <v/>
      </c>
    </row>
    <row r="247" spans="1:41" s="10" customFormat="1" ht="409.6">
      <c r="A247" s="9"/>
      <c r="B247" s="9"/>
      <c r="C247" s="9"/>
      <c r="D247" s="10" t="str">
        <f>"32701"</f>
        <v>32701</v>
      </c>
      <c r="E247" s="11" t="str">
        <f>""</f>
        <v/>
      </c>
      <c r="F247" s="11" t="str">
        <f t="shared" si="160"/>
        <v>372418</v>
      </c>
      <c r="G247" s="11" t="str">
        <f t="shared" si="161"/>
        <v>2017toJAN</v>
      </c>
      <c r="H247" s="11" t="str">
        <f t="shared" si="162"/>
        <v>CRSP06B</v>
      </c>
      <c r="I247" s="11" t="str">
        <f t="shared" si="163"/>
        <v>34</v>
      </c>
      <c r="J247" s="11" t="str">
        <f t="shared" si="164"/>
        <v>Creditor</v>
      </c>
      <c r="K247" s="11" t="str">
        <f>"CS000018"</f>
        <v>CS000018</v>
      </c>
      <c r="L247" s="10" t="str">
        <f>"Lloyds TSB Commercial Finance "</f>
        <v xml:space="preserve">Lloyds TSB Commercial Finance </v>
      </c>
      <c r="M247" s="12" t="str">
        <f>"27/01/2017 00:00:00"</f>
        <v>27/01/2017 00:00:00</v>
      </c>
      <c r="N247" s="12">
        <v>42762</v>
      </c>
      <c r="O247" s="10" t="str">
        <f>"C007990"</f>
        <v>C007990</v>
      </c>
      <c r="P247" s="13">
        <v>7600</v>
      </c>
      <c r="Q247" s="11" t="str">
        <f>"7600.0000"</f>
        <v>7600.0000</v>
      </c>
      <c r="R247" s="10" t="str">
        <f>"C0004632"</f>
        <v>C0004632</v>
      </c>
      <c r="S247" s="14" t="str">
        <f>"9120.0000"</f>
        <v>9120.0000</v>
      </c>
      <c r="T247" s="10">
        <v>21746</v>
      </c>
      <c r="U247" s="10">
        <v>1467</v>
      </c>
      <c r="V247" s="10" t="str">
        <f>"Services"</f>
        <v>Services</v>
      </c>
      <c r="W247" s="10" t="str">
        <f>"Supplies and Services"</f>
        <v>Supplies and Services</v>
      </c>
      <c r="X247" s="10" t="str">
        <f>VLOOKUP(U247,'[1]Account code lookup'!A:B,2,0)</f>
        <v>Consultancy</v>
      </c>
      <c r="Z247" s="10" t="str">
        <f>"Finance and Procurement"</f>
        <v>Finance and Procurement</v>
      </c>
      <c r="AA247" s="10" t="str">
        <f>"Chief Finance Officer"</f>
        <v>Chief Finance Officer</v>
      </c>
      <c r="AB247" s="10" t="str">
        <f>"3cfo"</f>
        <v>3cfo</v>
      </c>
      <c r="AD247" s="10" t="str">
        <f>"cfo02"</f>
        <v>cfo02</v>
      </c>
      <c r="AE247" s="10" t="str">
        <f>"Finance &amp; Procurement / Head of Finance &amp; Procurement"</f>
        <v>Finance &amp; Procurement / Head of Finance &amp; Procurement</v>
      </c>
      <c r="AG247" s="10" t="str">
        <f>"21746/1467"</f>
        <v>21746/1467</v>
      </c>
      <c r="AI247" s="10" t="str">
        <f>"14suse"</f>
        <v>14suse</v>
      </c>
      <c r="AJ247" s="15" t="str">
        <f>"Please supply John Barnes from 1 November 2016 to 31 January 2017_x000D_
to work with in our Procurement Team."</f>
        <v>Please supply John Barnes from 1 November 2016 to 31 January 2017_x000D_
to work with in our Procurement Team.</v>
      </c>
      <c r="AK247" s="10" t="str">
        <f>"Revenue"</f>
        <v>Revenue</v>
      </c>
      <c r="AL247" s="10" t="str">
        <f>""</f>
        <v/>
      </c>
      <c r="AM247" s="10" t="str">
        <f>""</f>
        <v/>
      </c>
      <c r="AN247" s="10" t="str">
        <f>""</f>
        <v/>
      </c>
      <c r="AO247" s="10" t="str">
        <f>""</f>
        <v/>
      </c>
    </row>
    <row r="248" spans="1:41" s="10" customFormat="1" ht="409.6">
      <c r="A248" s="9"/>
      <c r="B248" s="9"/>
      <c r="C248" s="9"/>
      <c r="D248" s="10" t="str">
        <f>"32786"</f>
        <v>32786</v>
      </c>
      <c r="E248" s="11" t="str">
        <f>""</f>
        <v/>
      </c>
      <c r="F248" s="11" t="str">
        <f t="shared" si="160"/>
        <v>372418</v>
      </c>
      <c r="G248" s="11" t="str">
        <f t="shared" si="161"/>
        <v>2017toJAN</v>
      </c>
      <c r="H248" s="11" t="str">
        <f t="shared" si="162"/>
        <v>CRSP06B</v>
      </c>
      <c r="I248" s="11" t="str">
        <f t="shared" si="163"/>
        <v>34</v>
      </c>
      <c r="J248" s="11" t="str">
        <f t="shared" si="164"/>
        <v>Creditor</v>
      </c>
      <c r="K248" s="11" t="str">
        <f>"CS000550"</f>
        <v>CS000550</v>
      </c>
      <c r="L248" s="10" t="str">
        <f>"Lyons &amp; Sleeman &amp; Hoare Ltd"</f>
        <v>Lyons &amp; Sleeman &amp; Hoare Ltd</v>
      </c>
      <c r="M248" s="12" t="str">
        <f>"18/01/2017 00:00:00"</f>
        <v>18/01/2017 00:00:00</v>
      </c>
      <c r="N248" s="12">
        <v>42753</v>
      </c>
      <c r="O248" s="10" t="str">
        <f>"C007580"</f>
        <v>C007580</v>
      </c>
      <c r="P248" s="13">
        <v>5000</v>
      </c>
      <c r="Q248" s="11" t="str">
        <f>"5000.0000"</f>
        <v>5000.0000</v>
      </c>
      <c r="R248" s="10" t="str">
        <f>"C0004464"</f>
        <v>C0004464</v>
      </c>
      <c r="S248" s="14" t="str">
        <f>"6000.0000"</f>
        <v>6000.0000</v>
      </c>
      <c r="T248" s="10">
        <v>40093</v>
      </c>
      <c r="U248" s="10">
        <v>4100</v>
      </c>
      <c r="V248" s="10" t="str">
        <f>"Capital Works"</f>
        <v>Capital Works</v>
      </c>
      <c r="W248" s="10" t="str">
        <f>"Capital Works"</f>
        <v>Capital Works</v>
      </c>
      <c r="X248" s="10" t="str">
        <f>VLOOKUP(U248,'[1]Account code lookup'!A:B,2,0)</f>
        <v>Contractors Capital Payments</v>
      </c>
      <c r="Z248" s="10" t="str">
        <f>"Capital Regen and Housing"</f>
        <v>Capital Regen and Housing</v>
      </c>
      <c r="AA248" s="10" t="str">
        <f>"Commercial Development Capital"</f>
        <v>Commercial Development Capital</v>
      </c>
      <c r="AB248" s="10" t="str">
        <f>"c2cdb"</f>
        <v>c2cdb</v>
      </c>
      <c r="AD248" s="10" t="str">
        <f>"ccdb02"</f>
        <v>ccdb02</v>
      </c>
      <c r="AE248" s="10" t="str">
        <f>"Finance &amp; Procurement / Finance"</f>
        <v>Finance &amp; Procurement / Finance</v>
      </c>
      <c r="AG248" s="10" t="str">
        <f>"40093/4100"</f>
        <v>40093/4100</v>
      </c>
      <c r="AI248" s="10" t="str">
        <f>"41cwrk"</f>
        <v>41cwrk</v>
      </c>
      <c r="AJ248" s="15" t="str">
        <f>"BICESTER COMMUNITY BUILDING_x000D_
_x000D_
Fees to consultant to help deliver the scheme which the Council are working with Travelodge to take occupation of the second floor of Franklins House, Pioneer Square,"</f>
        <v>BICESTER COMMUNITY BUILDING_x000D_
_x000D_
Fees to consultant to help deliver the scheme which the Council are working with Travelodge to take occupation of the second floor of Franklins House, Pioneer Square,</v>
      </c>
      <c r="AK248" s="10" t="str">
        <f>"Capital"</f>
        <v>Capital</v>
      </c>
      <c r="AL248" s="10" t="str">
        <f>""</f>
        <v/>
      </c>
      <c r="AM248" s="10" t="str">
        <f>""</f>
        <v/>
      </c>
      <c r="AN248" s="10" t="str">
        <f>""</f>
        <v/>
      </c>
      <c r="AO248" s="10" t="str">
        <f>""</f>
        <v/>
      </c>
    </row>
    <row r="249" spans="1:41" s="10" customFormat="1" ht="409.6">
      <c r="A249" s="9"/>
      <c r="B249" s="9"/>
      <c r="C249" s="9"/>
      <c r="D249" s="10" t="str">
        <f>"32800"</f>
        <v>32800</v>
      </c>
      <c r="E249" s="11" t="str">
        <f>""</f>
        <v/>
      </c>
      <c r="F249" s="11" t="str">
        <f t="shared" si="160"/>
        <v>372418</v>
      </c>
      <c r="G249" s="11" t="str">
        <f t="shared" si="161"/>
        <v>2017toJAN</v>
      </c>
      <c r="H249" s="11" t="str">
        <f t="shared" si="162"/>
        <v>CRSP06B</v>
      </c>
      <c r="I249" s="11" t="str">
        <f t="shared" si="163"/>
        <v>34</v>
      </c>
      <c r="J249" s="11" t="str">
        <f t="shared" si="164"/>
        <v>Creditor</v>
      </c>
      <c r="K249" s="11" t="str">
        <f t="shared" ref="K249:K312" si="172">"CS000551"</f>
        <v>CS000551</v>
      </c>
      <c r="L249" s="10" t="str">
        <f t="shared" ref="L249:L312" si="173">"Lyreco UK Ltd"</f>
        <v>Lyreco UK Ltd</v>
      </c>
      <c r="M249" s="12" t="str">
        <f t="shared" ref="M249:M312" si="174">"25/01/2017 00:00:00"</f>
        <v>25/01/2017 00:00:00</v>
      </c>
      <c r="N249" s="12">
        <v>42760</v>
      </c>
      <c r="O249" s="10" t="str">
        <f t="shared" ref="O249:O312" si="175">"C008069"</f>
        <v>C008069</v>
      </c>
      <c r="P249" s="13">
        <v>15.96</v>
      </c>
      <c r="Q249" s="11" t="str">
        <f>"15.9600"</f>
        <v>15.9600</v>
      </c>
      <c r="R249" s="10" t="str">
        <f t="shared" ref="R249:R312" si="176">"C0004552"</f>
        <v>C0004552</v>
      </c>
      <c r="S249" s="14" t="str">
        <f t="shared" ref="S249:S312" si="177">"2129.8300"</f>
        <v>2129.8300</v>
      </c>
      <c r="T249" s="10">
        <v>21100</v>
      </c>
      <c r="U249" s="10">
        <v>1444</v>
      </c>
      <c r="V249" s="10" t="str">
        <f t="shared" ref="V249:V312" si="178">"Printing Stationery &amp; Off Supp"</f>
        <v>Printing Stationery &amp; Off Supp</v>
      </c>
      <c r="W249" s="10" t="str">
        <f t="shared" ref="W249:W312" si="179">"Supplies and Services"</f>
        <v>Supplies and Services</v>
      </c>
      <c r="X249" s="10" t="str">
        <f>VLOOKUP(U249,'[1]Account code lookup'!A:B,2,0)</f>
        <v>Stationery</v>
      </c>
      <c r="Z249" s="10" t="str">
        <f>"Law and Governance"</f>
        <v>Law and Governance</v>
      </c>
      <c r="AA249" s="10" t="str">
        <f>"Strategy and Commissioning"</f>
        <v>Strategy and Commissioning</v>
      </c>
      <c r="AB249" s="10" t="str">
        <f>"4sac"</f>
        <v>4sac</v>
      </c>
      <c r="AD249" s="10" t="str">
        <f>"sac07"</f>
        <v>sac07</v>
      </c>
      <c r="AE249" s="10" t="str">
        <f t="shared" ref="AE249:AE312" si="180">"Environmental Services / Environmental Services Admin"</f>
        <v>Environmental Services / Environmental Services Admin</v>
      </c>
      <c r="AG249" s="10" t="str">
        <f>"21100/1444"</f>
        <v>21100/1444</v>
      </c>
      <c r="AI249" s="10" t="str">
        <f t="shared" ref="AI249:AI312" si="181">"14suse"</f>
        <v>14suse</v>
      </c>
      <c r="AJ249" s="15" t="str">
        <f>"LYRECO WHITE C5 SELF SEAL WINDOW ENVELOPES 90GSM - BOX OF 500"</f>
        <v>LYRECO WHITE C5 SELF SEAL WINDOW ENVELOPES 90GSM - BOX OF 500</v>
      </c>
      <c r="AK249" s="10" t="str">
        <f t="shared" ref="AK249:AK312" si="182">"Revenue"</f>
        <v>Revenue</v>
      </c>
      <c r="AL249" s="10" t="str">
        <f>""</f>
        <v/>
      </c>
      <c r="AM249" s="10" t="str">
        <f>""</f>
        <v/>
      </c>
      <c r="AN249" s="10" t="str">
        <f>""</f>
        <v/>
      </c>
      <c r="AO249" s="10" t="str">
        <f>""</f>
        <v/>
      </c>
    </row>
    <row r="250" spans="1:41" s="10" customFormat="1" ht="409.6">
      <c r="A250" s="9"/>
      <c r="B250" s="9"/>
      <c r="C250" s="9"/>
      <c r="D250" s="10" t="str">
        <f>"32963"</f>
        <v>32963</v>
      </c>
      <c r="E250" s="11" t="str">
        <f>""</f>
        <v/>
      </c>
      <c r="F250" s="11" t="str">
        <f t="shared" si="160"/>
        <v>372418</v>
      </c>
      <c r="G250" s="11" t="str">
        <f t="shared" si="161"/>
        <v>2017toJAN</v>
      </c>
      <c r="H250" s="11" t="str">
        <f t="shared" si="162"/>
        <v>CRSP06B</v>
      </c>
      <c r="I250" s="11" t="str">
        <f t="shared" si="163"/>
        <v>34</v>
      </c>
      <c r="J250" s="11" t="str">
        <f t="shared" si="164"/>
        <v>Creditor</v>
      </c>
      <c r="K250" s="11" t="str">
        <f t="shared" si="172"/>
        <v>CS000551</v>
      </c>
      <c r="L250" s="10" t="str">
        <f t="shared" si="173"/>
        <v>Lyreco UK Ltd</v>
      </c>
      <c r="M250" s="12" t="str">
        <f t="shared" si="174"/>
        <v>25/01/2017 00:00:00</v>
      </c>
      <c r="N250" s="12">
        <v>42760</v>
      </c>
      <c r="O250" s="10" t="str">
        <f t="shared" si="175"/>
        <v>C008069</v>
      </c>
      <c r="P250" s="13">
        <v>221</v>
      </c>
      <c r="Q250" s="11" t="str">
        <f>"221.0000"</f>
        <v>221.0000</v>
      </c>
      <c r="R250" s="10" t="str">
        <f t="shared" si="176"/>
        <v>C0004552</v>
      </c>
      <c r="S250" s="14" t="str">
        <f t="shared" si="177"/>
        <v>2129.8300</v>
      </c>
      <c r="T250" s="10">
        <v>21700</v>
      </c>
      <c r="U250" s="10">
        <v>1441</v>
      </c>
      <c r="V250" s="10" t="str">
        <f t="shared" si="178"/>
        <v>Printing Stationery &amp; Off Supp</v>
      </c>
      <c r="W250" s="10" t="str">
        <f t="shared" si="179"/>
        <v>Supplies and Services</v>
      </c>
      <c r="X250" s="10" t="str">
        <f>VLOOKUP(U250,'[1]Account code lookup'!A:B,2,0)</f>
        <v>Printing Paper</v>
      </c>
      <c r="Z250" s="10" t="str">
        <f t="shared" ref="Z250:Z278" si="183">"Community Services"</f>
        <v>Community Services</v>
      </c>
      <c r="AA250" s="10" t="str">
        <f t="shared" ref="AA250:AA278" si="184">"Operations and Delivery"</f>
        <v>Operations and Delivery</v>
      </c>
      <c r="AB250" s="10" t="str">
        <f t="shared" ref="AB250:AB278" si="185">"5oad"</f>
        <v>5oad</v>
      </c>
      <c r="AD250" s="10" t="str">
        <f t="shared" ref="AD250:AD278" si="186">"oad01"</f>
        <v>oad01</v>
      </c>
      <c r="AE250" s="10" t="str">
        <f t="shared" si="180"/>
        <v>Environmental Services / Environmental Services Admin</v>
      </c>
      <c r="AG250" s="10" t="str">
        <f>"21700/1441"</f>
        <v>21700/1441</v>
      </c>
      <c r="AI250" s="10" t="str">
        <f t="shared" si="181"/>
        <v>14suse</v>
      </c>
      <c r="AJ250" s="15" t="str">
        <f>"LENZING COPY RIGHT PAPER A4 80GSM WHITE - BOX OF 5 REAMS"</f>
        <v>LENZING COPY RIGHT PAPER A4 80GSM WHITE - BOX OF 5 REAMS</v>
      </c>
      <c r="AK250" s="10" t="str">
        <f t="shared" si="182"/>
        <v>Revenue</v>
      </c>
      <c r="AL250" s="10" t="str">
        <f>""</f>
        <v/>
      </c>
      <c r="AM250" s="10" t="str">
        <f>""</f>
        <v/>
      </c>
      <c r="AN250" s="10" t="str">
        <f>""</f>
        <v/>
      </c>
      <c r="AO250" s="10" t="str">
        <f>""</f>
        <v/>
      </c>
    </row>
    <row r="251" spans="1:41" s="10" customFormat="1" ht="409.6">
      <c r="A251" s="9"/>
      <c r="B251" s="9"/>
      <c r="C251" s="9"/>
      <c r="D251" s="10" t="str">
        <f>"32964"</f>
        <v>32964</v>
      </c>
      <c r="E251" s="11" t="str">
        <f>""</f>
        <v/>
      </c>
      <c r="F251" s="11" t="str">
        <f t="shared" si="160"/>
        <v>372418</v>
      </c>
      <c r="G251" s="11" t="str">
        <f t="shared" si="161"/>
        <v>2017toJAN</v>
      </c>
      <c r="H251" s="11" t="str">
        <f t="shared" si="162"/>
        <v>CRSP06B</v>
      </c>
      <c r="I251" s="11" t="str">
        <f t="shared" si="163"/>
        <v>34</v>
      </c>
      <c r="J251" s="11" t="str">
        <f t="shared" si="164"/>
        <v>Creditor</v>
      </c>
      <c r="K251" s="11" t="str">
        <f t="shared" si="172"/>
        <v>CS000551</v>
      </c>
      <c r="L251" s="10" t="str">
        <f t="shared" si="173"/>
        <v>Lyreco UK Ltd</v>
      </c>
      <c r="M251" s="12" t="str">
        <f t="shared" si="174"/>
        <v>25/01/2017 00:00:00</v>
      </c>
      <c r="N251" s="12">
        <v>42760</v>
      </c>
      <c r="O251" s="10" t="str">
        <f t="shared" si="175"/>
        <v>C008069</v>
      </c>
      <c r="P251" s="13">
        <v>221</v>
      </c>
      <c r="Q251" s="11" t="str">
        <f>"221.0000"</f>
        <v>221.0000</v>
      </c>
      <c r="R251" s="10" t="str">
        <f t="shared" si="176"/>
        <v>C0004552</v>
      </c>
      <c r="S251" s="14" t="str">
        <f t="shared" si="177"/>
        <v>2129.8300</v>
      </c>
      <c r="T251" s="10">
        <v>21700</v>
      </c>
      <c r="U251" s="10">
        <v>1441</v>
      </c>
      <c r="V251" s="10" t="str">
        <f t="shared" si="178"/>
        <v>Printing Stationery &amp; Off Supp</v>
      </c>
      <c r="W251" s="10" t="str">
        <f t="shared" si="179"/>
        <v>Supplies and Services</v>
      </c>
      <c r="X251" s="10" t="str">
        <f>VLOOKUP(U251,'[1]Account code lookup'!A:B,2,0)</f>
        <v>Printing Paper</v>
      </c>
      <c r="Z251" s="10" t="str">
        <f t="shared" si="183"/>
        <v>Community Services</v>
      </c>
      <c r="AA251" s="10" t="str">
        <f t="shared" si="184"/>
        <v>Operations and Delivery</v>
      </c>
      <c r="AB251" s="10" t="str">
        <f t="shared" si="185"/>
        <v>5oad</v>
      </c>
      <c r="AD251" s="10" t="str">
        <f t="shared" si="186"/>
        <v>oad01</v>
      </c>
      <c r="AE251" s="10" t="str">
        <f t="shared" si="180"/>
        <v>Environmental Services / Environmental Services Admin</v>
      </c>
      <c r="AG251" s="10" t="str">
        <f>"21700/1441"</f>
        <v>21700/1441</v>
      </c>
      <c r="AI251" s="10" t="str">
        <f t="shared" si="181"/>
        <v>14suse</v>
      </c>
      <c r="AJ251" s="15" t="str">
        <f>"LENZING COPY RIGHT PAPER A4 80GSM WHITE - BOX OF 5 REAMS"</f>
        <v>LENZING COPY RIGHT PAPER A4 80GSM WHITE - BOX OF 5 REAMS</v>
      </c>
      <c r="AK251" s="10" t="str">
        <f t="shared" si="182"/>
        <v>Revenue</v>
      </c>
      <c r="AL251" s="10" t="str">
        <f>""</f>
        <v/>
      </c>
      <c r="AM251" s="10" t="str">
        <f>""</f>
        <v/>
      </c>
      <c r="AN251" s="10" t="str">
        <f>""</f>
        <v/>
      </c>
      <c r="AO251" s="10" t="str">
        <f>""</f>
        <v/>
      </c>
    </row>
    <row r="252" spans="1:41" s="10" customFormat="1" ht="409.6">
      <c r="A252" s="9"/>
      <c r="B252" s="9"/>
      <c r="C252" s="9"/>
      <c r="D252" s="10" t="str">
        <f>"32965"</f>
        <v>32965</v>
      </c>
      <c r="E252" s="11" t="str">
        <f>""</f>
        <v/>
      </c>
      <c r="F252" s="11" t="str">
        <f t="shared" si="160"/>
        <v>372418</v>
      </c>
      <c r="G252" s="11" t="str">
        <f t="shared" si="161"/>
        <v>2017toJAN</v>
      </c>
      <c r="H252" s="11" t="str">
        <f t="shared" si="162"/>
        <v>CRSP06B</v>
      </c>
      <c r="I252" s="11" t="str">
        <f t="shared" si="163"/>
        <v>34</v>
      </c>
      <c r="J252" s="11" t="str">
        <f t="shared" si="164"/>
        <v>Creditor</v>
      </c>
      <c r="K252" s="11" t="str">
        <f t="shared" si="172"/>
        <v>CS000551</v>
      </c>
      <c r="L252" s="10" t="str">
        <f t="shared" si="173"/>
        <v>Lyreco UK Ltd</v>
      </c>
      <c r="M252" s="12" t="str">
        <f t="shared" si="174"/>
        <v>25/01/2017 00:00:00</v>
      </c>
      <c r="N252" s="12">
        <v>42760</v>
      </c>
      <c r="O252" s="10" t="str">
        <f t="shared" si="175"/>
        <v>C008069</v>
      </c>
      <c r="P252" s="13">
        <v>221</v>
      </c>
      <c r="Q252" s="11" t="str">
        <f>"221.0000"</f>
        <v>221.0000</v>
      </c>
      <c r="R252" s="10" t="str">
        <f t="shared" si="176"/>
        <v>C0004552</v>
      </c>
      <c r="S252" s="14" t="str">
        <f t="shared" si="177"/>
        <v>2129.8300</v>
      </c>
      <c r="T252" s="10">
        <v>21700</v>
      </c>
      <c r="U252" s="10">
        <v>1441</v>
      </c>
      <c r="V252" s="10" t="str">
        <f t="shared" si="178"/>
        <v>Printing Stationery &amp; Off Supp</v>
      </c>
      <c r="W252" s="10" t="str">
        <f t="shared" si="179"/>
        <v>Supplies and Services</v>
      </c>
      <c r="X252" s="10" t="str">
        <f>VLOOKUP(U252,'[1]Account code lookup'!A:B,2,0)</f>
        <v>Printing Paper</v>
      </c>
      <c r="Z252" s="10" t="str">
        <f t="shared" si="183"/>
        <v>Community Services</v>
      </c>
      <c r="AA252" s="10" t="str">
        <f t="shared" si="184"/>
        <v>Operations and Delivery</v>
      </c>
      <c r="AB252" s="10" t="str">
        <f t="shared" si="185"/>
        <v>5oad</v>
      </c>
      <c r="AD252" s="10" t="str">
        <f t="shared" si="186"/>
        <v>oad01</v>
      </c>
      <c r="AE252" s="10" t="str">
        <f t="shared" si="180"/>
        <v>Environmental Services / Environmental Services Admin</v>
      </c>
      <c r="AG252" s="10" t="str">
        <f>"21700/1441"</f>
        <v>21700/1441</v>
      </c>
      <c r="AI252" s="10" t="str">
        <f t="shared" si="181"/>
        <v>14suse</v>
      </c>
      <c r="AJ252" s="15" t="str">
        <f>"LENZING COPY RIGHT PAPER A4 80GSM WHITE - BOX OF 5 REAMS"</f>
        <v>LENZING COPY RIGHT PAPER A4 80GSM WHITE - BOX OF 5 REAMS</v>
      </c>
      <c r="AK252" s="10" t="str">
        <f t="shared" si="182"/>
        <v>Revenue</v>
      </c>
      <c r="AL252" s="10" t="str">
        <f>""</f>
        <v/>
      </c>
      <c r="AM252" s="10" t="str">
        <f>""</f>
        <v/>
      </c>
      <c r="AN252" s="10" t="str">
        <f>""</f>
        <v/>
      </c>
      <c r="AO252" s="10" t="str">
        <f>""</f>
        <v/>
      </c>
    </row>
    <row r="253" spans="1:41" s="10" customFormat="1" ht="409.6">
      <c r="A253" s="9"/>
      <c r="B253" s="9"/>
      <c r="C253" s="9"/>
      <c r="D253" s="10" t="str">
        <f>"32966"</f>
        <v>32966</v>
      </c>
      <c r="E253" s="11" t="str">
        <f>""</f>
        <v/>
      </c>
      <c r="F253" s="11" t="str">
        <f t="shared" si="160"/>
        <v>372418</v>
      </c>
      <c r="G253" s="11" t="str">
        <f t="shared" si="161"/>
        <v>2017toJAN</v>
      </c>
      <c r="H253" s="11" t="str">
        <f t="shared" si="162"/>
        <v>CRSP06B</v>
      </c>
      <c r="I253" s="11" t="str">
        <f t="shared" si="163"/>
        <v>34</v>
      </c>
      <c r="J253" s="11" t="str">
        <f t="shared" si="164"/>
        <v>Creditor</v>
      </c>
      <c r="K253" s="11" t="str">
        <f t="shared" si="172"/>
        <v>CS000551</v>
      </c>
      <c r="L253" s="10" t="str">
        <f t="shared" si="173"/>
        <v>Lyreco UK Ltd</v>
      </c>
      <c r="M253" s="12" t="str">
        <f t="shared" si="174"/>
        <v>25/01/2017 00:00:00</v>
      </c>
      <c r="N253" s="12">
        <v>42760</v>
      </c>
      <c r="O253" s="10" t="str">
        <f t="shared" si="175"/>
        <v>C008069</v>
      </c>
      <c r="P253" s="13">
        <v>276.25</v>
      </c>
      <c r="Q253" s="11" t="str">
        <f>"276.2500"</f>
        <v>276.2500</v>
      </c>
      <c r="R253" s="10" t="str">
        <f t="shared" si="176"/>
        <v>C0004552</v>
      </c>
      <c r="S253" s="14" t="str">
        <f t="shared" si="177"/>
        <v>2129.8300</v>
      </c>
      <c r="T253" s="10">
        <v>21700</v>
      </c>
      <c r="U253" s="10">
        <v>1441</v>
      </c>
      <c r="V253" s="10" t="str">
        <f t="shared" si="178"/>
        <v>Printing Stationery &amp; Off Supp</v>
      </c>
      <c r="W253" s="10" t="str">
        <f t="shared" si="179"/>
        <v>Supplies and Services</v>
      </c>
      <c r="X253" s="10" t="str">
        <f>VLOOKUP(U253,'[1]Account code lookup'!A:B,2,0)</f>
        <v>Printing Paper</v>
      </c>
      <c r="Z253" s="10" t="str">
        <f t="shared" si="183"/>
        <v>Community Services</v>
      </c>
      <c r="AA253" s="10" t="str">
        <f t="shared" si="184"/>
        <v>Operations and Delivery</v>
      </c>
      <c r="AB253" s="10" t="str">
        <f t="shared" si="185"/>
        <v>5oad</v>
      </c>
      <c r="AD253" s="10" t="str">
        <f t="shared" si="186"/>
        <v>oad01</v>
      </c>
      <c r="AE253" s="10" t="str">
        <f t="shared" si="180"/>
        <v>Environmental Services / Environmental Services Admin</v>
      </c>
      <c r="AG253" s="10" t="str">
        <f>"21700/1441"</f>
        <v>21700/1441</v>
      </c>
      <c r="AI253" s="10" t="str">
        <f t="shared" si="181"/>
        <v>14suse</v>
      </c>
      <c r="AJ253" s="15" t="str">
        <f>"LENZING COPY RIGHT PAPER A4 80GSM WHITE - BOX OF 5 REAMS"</f>
        <v>LENZING COPY RIGHT PAPER A4 80GSM WHITE - BOX OF 5 REAMS</v>
      </c>
      <c r="AK253" s="10" t="str">
        <f t="shared" si="182"/>
        <v>Revenue</v>
      </c>
      <c r="AL253" s="10" t="str">
        <f>""</f>
        <v/>
      </c>
      <c r="AM253" s="10" t="str">
        <f>""</f>
        <v/>
      </c>
      <c r="AN253" s="10" t="str">
        <f>""</f>
        <v/>
      </c>
      <c r="AO253" s="10" t="str">
        <f>""</f>
        <v/>
      </c>
    </row>
    <row r="254" spans="1:41" s="10" customFormat="1" ht="409.6">
      <c r="A254" s="9"/>
      <c r="B254" s="9"/>
      <c r="C254" s="9"/>
      <c r="D254" s="10" t="str">
        <f>"33170"</f>
        <v>33170</v>
      </c>
      <c r="E254" s="11" t="str">
        <f>""</f>
        <v/>
      </c>
      <c r="F254" s="11" t="str">
        <f t="shared" si="160"/>
        <v>372418</v>
      </c>
      <c r="G254" s="11" t="str">
        <f t="shared" si="161"/>
        <v>2017toJAN</v>
      </c>
      <c r="H254" s="11" t="str">
        <f t="shared" si="162"/>
        <v>CRSP06B</v>
      </c>
      <c r="I254" s="11" t="str">
        <f t="shared" si="163"/>
        <v>34</v>
      </c>
      <c r="J254" s="11" t="str">
        <f t="shared" si="164"/>
        <v>Creditor</v>
      </c>
      <c r="K254" s="11" t="str">
        <f t="shared" si="172"/>
        <v>CS000551</v>
      </c>
      <c r="L254" s="10" t="str">
        <f t="shared" si="173"/>
        <v>Lyreco UK Ltd</v>
      </c>
      <c r="M254" s="12" t="str">
        <f t="shared" si="174"/>
        <v>25/01/2017 00:00:00</v>
      </c>
      <c r="N254" s="12">
        <v>42760</v>
      </c>
      <c r="O254" s="10" t="str">
        <f t="shared" si="175"/>
        <v>C008069</v>
      </c>
      <c r="P254" s="13">
        <v>24.9</v>
      </c>
      <c r="Q254" s="11" t="str">
        <f>"24.9000"</f>
        <v>24.9000</v>
      </c>
      <c r="R254" s="10" t="str">
        <f t="shared" si="176"/>
        <v>C0004552</v>
      </c>
      <c r="S254" s="14" t="str">
        <f t="shared" si="177"/>
        <v>2129.8300</v>
      </c>
      <c r="T254" s="10">
        <v>21700</v>
      </c>
      <c r="U254" s="10">
        <v>1441</v>
      </c>
      <c r="V254" s="10" t="str">
        <f t="shared" si="178"/>
        <v>Printing Stationery &amp; Off Supp</v>
      </c>
      <c r="W254" s="10" t="str">
        <f t="shared" si="179"/>
        <v>Supplies and Services</v>
      </c>
      <c r="X254" s="10" t="str">
        <f>VLOOKUP(U254,'[1]Account code lookup'!A:B,2,0)</f>
        <v>Printing Paper</v>
      </c>
      <c r="Z254" s="10" t="str">
        <f t="shared" si="183"/>
        <v>Community Services</v>
      </c>
      <c r="AA254" s="10" t="str">
        <f t="shared" si="184"/>
        <v>Operations and Delivery</v>
      </c>
      <c r="AB254" s="10" t="str">
        <f t="shared" si="185"/>
        <v>5oad</v>
      </c>
      <c r="AD254" s="10" t="str">
        <f t="shared" si="186"/>
        <v>oad01</v>
      </c>
      <c r="AE254" s="10" t="str">
        <f t="shared" si="180"/>
        <v>Environmental Services / Environmental Services Admin</v>
      </c>
      <c r="AG254" s="10" t="str">
        <f>"21700/1441"</f>
        <v>21700/1441</v>
      </c>
      <c r="AI254" s="10" t="str">
        <f t="shared" si="181"/>
        <v>14suse</v>
      </c>
      <c r="AJ254" s="15" t="str">
        <f>"LYRECO BUDGET WHITE A3 80GSM COPIER PAPER-BOX OF 3 REAMS (3X500 SHEETS OF PAPER)"</f>
        <v>LYRECO BUDGET WHITE A3 80GSM COPIER PAPER-BOX OF 3 REAMS (3X500 SHEETS OF PAPER)</v>
      </c>
      <c r="AK254" s="10" t="str">
        <f t="shared" si="182"/>
        <v>Revenue</v>
      </c>
      <c r="AL254" s="10" t="str">
        <f>""</f>
        <v/>
      </c>
      <c r="AM254" s="10" t="str">
        <f>""</f>
        <v/>
      </c>
      <c r="AN254" s="10" t="str">
        <f>""</f>
        <v/>
      </c>
      <c r="AO254" s="10" t="str">
        <f>""</f>
        <v/>
      </c>
    </row>
    <row r="255" spans="1:41" s="10" customFormat="1" ht="409.6">
      <c r="A255" s="9"/>
      <c r="B255" s="9"/>
      <c r="C255" s="9"/>
      <c r="D255" s="10" t="str">
        <f>"33407"</f>
        <v>33407</v>
      </c>
      <c r="E255" s="11" t="str">
        <f>""</f>
        <v/>
      </c>
      <c r="F255" s="11" t="str">
        <f t="shared" si="160"/>
        <v>372418</v>
      </c>
      <c r="G255" s="11" t="str">
        <f t="shared" si="161"/>
        <v>2017toJAN</v>
      </c>
      <c r="H255" s="11" t="str">
        <f t="shared" si="162"/>
        <v>CRSP06B</v>
      </c>
      <c r="I255" s="11" t="str">
        <f t="shared" si="163"/>
        <v>34</v>
      </c>
      <c r="J255" s="11" t="str">
        <f t="shared" si="164"/>
        <v>Creditor</v>
      </c>
      <c r="K255" s="11" t="str">
        <f t="shared" si="172"/>
        <v>CS000551</v>
      </c>
      <c r="L255" s="10" t="str">
        <f t="shared" si="173"/>
        <v>Lyreco UK Ltd</v>
      </c>
      <c r="M255" s="12" t="str">
        <f t="shared" si="174"/>
        <v>25/01/2017 00:00:00</v>
      </c>
      <c r="N255" s="12">
        <v>42760</v>
      </c>
      <c r="O255" s="10" t="str">
        <f t="shared" si="175"/>
        <v>C008069</v>
      </c>
      <c r="P255" s="13">
        <v>25.65</v>
      </c>
      <c r="Q255" s="11" t="str">
        <f>"25.6500"</f>
        <v>25.6500</v>
      </c>
      <c r="R255" s="10" t="str">
        <f t="shared" si="176"/>
        <v>C0004552</v>
      </c>
      <c r="S255" s="14" t="str">
        <f t="shared" si="177"/>
        <v>2129.8300</v>
      </c>
      <c r="T255" s="10">
        <v>21700</v>
      </c>
      <c r="U255" s="10">
        <v>1444</v>
      </c>
      <c r="V255" s="10" t="str">
        <f t="shared" si="178"/>
        <v>Printing Stationery &amp; Off Supp</v>
      </c>
      <c r="W255" s="10" t="str">
        <f t="shared" si="179"/>
        <v>Supplies and Services</v>
      </c>
      <c r="X255" s="10" t="str">
        <f>VLOOKUP(U255,'[1]Account code lookup'!A:B,2,0)</f>
        <v>Stationery</v>
      </c>
      <c r="Z255" s="10" t="str">
        <f t="shared" si="183"/>
        <v>Community Services</v>
      </c>
      <c r="AA255" s="10" t="str">
        <f t="shared" si="184"/>
        <v>Operations and Delivery</v>
      </c>
      <c r="AB255" s="10" t="str">
        <f t="shared" si="185"/>
        <v>5oad</v>
      </c>
      <c r="AD255" s="10" t="str">
        <f t="shared" si="186"/>
        <v>oad01</v>
      </c>
      <c r="AE255" s="10" t="str">
        <f t="shared" si="180"/>
        <v>Environmental Services / Environmental Services Admin</v>
      </c>
      <c r="AG255" s="10" t="str">
        <f t="shared" ref="AG255:AG260" si="187">"21700/1444"</f>
        <v>21700/1444</v>
      </c>
      <c r="AI255" s="10" t="str">
        <f t="shared" si="181"/>
        <v>14suse</v>
      </c>
      <c r="AJ255" s="15" t="str">
        <f>"LYRECO LASER PRINTER LABELS 139MM X 99.1MM - BOX OF 100"</f>
        <v>LYRECO LASER PRINTER LABELS 139MM X 99.1MM - BOX OF 100</v>
      </c>
      <c r="AK255" s="10" t="str">
        <f t="shared" si="182"/>
        <v>Revenue</v>
      </c>
      <c r="AL255" s="10" t="str">
        <f>""</f>
        <v/>
      </c>
      <c r="AM255" s="10" t="str">
        <f>""</f>
        <v/>
      </c>
      <c r="AN255" s="10" t="str">
        <f>""</f>
        <v/>
      </c>
      <c r="AO255" s="10" t="str">
        <f>""</f>
        <v/>
      </c>
    </row>
    <row r="256" spans="1:41" s="10" customFormat="1" ht="409.6">
      <c r="A256" s="9"/>
      <c r="B256" s="9"/>
      <c r="C256" s="9"/>
      <c r="D256" s="10" t="str">
        <f>"33903"</f>
        <v>33903</v>
      </c>
      <c r="E256" s="11" t="str">
        <f>""</f>
        <v/>
      </c>
      <c r="F256" s="11" t="str">
        <f t="shared" si="160"/>
        <v>372418</v>
      </c>
      <c r="G256" s="11" t="str">
        <f t="shared" si="161"/>
        <v>2017toJAN</v>
      </c>
      <c r="H256" s="11" t="str">
        <f t="shared" si="162"/>
        <v>CRSP06B</v>
      </c>
      <c r="I256" s="11" t="str">
        <f t="shared" si="163"/>
        <v>34</v>
      </c>
      <c r="J256" s="11" t="str">
        <f t="shared" si="164"/>
        <v>Creditor</v>
      </c>
      <c r="K256" s="11" t="str">
        <f t="shared" si="172"/>
        <v>CS000551</v>
      </c>
      <c r="L256" s="10" t="str">
        <f t="shared" si="173"/>
        <v>Lyreco UK Ltd</v>
      </c>
      <c r="M256" s="12" t="str">
        <f t="shared" si="174"/>
        <v>25/01/2017 00:00:00</v>
      </c>
      <c r="N256" s="12">
        <v>42760</v>
      </c>
      <c r="O256" s="10" t="str">
        <f t="shared" si="175"/>
        <v>C008069</v>
      </c>
      <c r="P256" s="13">
        <v>0.06</v>
      </c>
      <c r="Q256" s="11" t="str">
        <f>"0.0600"</f>
        <v>0.0600</v>
      </c>
      <c r="R256" s="10" t="str">
        <f t="shared" si="176"/>
        <v>C0004552</v>
      </c>
      <c r="S256" s="14" t="str">
        <f t="shared" si="177"/>
        <v>2129.8300</v>
      </c>
      <c r="T256" s="10">
        <v>21700</v>
      </c>
      <c r="U256" s="10">
        <v>1444</v>
      </c>
      <c r="V256" s="10" t="str">
        <f t="shared" si="178"/>
        <v>Printing Stationery &amp; Off Supp</v>
      </c>
      <c r="W256" s="10" t="str">
        <f t="shared" si="179"/>
        <v>Supplies and Services</v>
      </c>
      <c r="X256" s="10" t="str">
        <f>VLOOKUP(U256,'[1]Account code lookup'!A:B,2,0)</f>
        <v>Stationery</v>
      </c>
      <c r="Z256" s="10" t="str">
        <f t="shared" si="183"/>
        <v>Community Services</v>
      </c>
      <c r="AA256" s="10" t="str">
        <f t="shared" si="184"/>
        <v>Operations and Delivery</v>
      </c>
      <c r="AB256" s="10" t="str">
        <f t="shared" si="185"/>
        <v>5oad</v>
      </c>
      <c r="AD256" s="10" t="str">
        <f t="shared" si="186"/>
        <v>oad01</v>
      </c>
      <c r="AE256" s="10" t="str">
        <f t="shared" si="180"/>
        <v>Environmental Services / Environmental Services Admin</v>
      </c>
      <c r="AG256" s="10" t="str">
        <f t="shared" si="187"/>
        <v>21700/1444</v>
      </c>
      <c r="AI256" s="10" t="str">
        <f t="shared" si="181"/>
        <v>14suse</v>
      </c>
      <c r="AJ256" s="15" t="str">
        <f>"LYRECO STAPLE REMOVER BLACK"</f>
        <v>LYRECO STAPLE REMOVER BLACK</v>
      </c>
      <c r="AK256" s="10" t="str">
        <f t="shared" si="182"/>
        <v>Revenue</v>
      </c>
      <c r="AL256" s="10" t="str">
        <f>""</f>
        <v/>
      </c>
      <c r="AM256" s="10" t="str">
        <f>""</f>
        <v/>
      </c>
      <c r="AN256" s="10" t="str">
        <f>""</f>
        <v/>
      </c>
      <c r="AO256" s="10" t="str">
        <f>""</f>
        <v/>
      </c>
    </row>
    <row r="257" spans="1:41" s="10" customFormat="1" ht="409.6">
      <c r="A257" s="9"/>
      <c r="B257" s="9"/>
      <c r="C257" s="9"/>
      <c r="D257" s="10" t="str">
        <f>"33991"</f>
        <v>33991</v>
      </c>
      <c r="E257" s="11" t="str">
        <f>""</f>
        <v/>
      </c>
      <c r="F257" s="11" t="str">
        <f t="shared" si="160"/>
        <v>372418</v>
      </c>
      <c r="G257" s="11" t="str">
        <f t="shared" si="161"/>
        <v>2017toJAN</v>
      </c>
      <c r="H257" s="11" t="str">
        <f t="shared" si="162"/>
        <v>CRSP06B</v>
      </c>
      <c r="I257" s="11" t="str">
        <f t="shared" si="163"/>
        <v>34</v>
      </c>
      <c r="J257" s="11" t="str">
        <f t="shared" si="164"/>
        <v>Creditor</v>
      </c>
      <c r="K257" s="11" t="str">
        <f t="shared" si="172"/>
        <v>CS000551</v>
      </c>
      <c r="L257" s="10" t="str">
        <f t="shared" si="173"/>
        <v>Lyreco UK Ltd</v>
      </c>
      <c r="M257" s="12" t="str">
        <f t="shared" si="174"/>
        <v>25/01/2017 00:00:00</v>
      </c>
      <c r="N257" s="12">
        <v>42760</v>
      </c>
      <c r="O257" s="10" t="str">
        <f t="shared" si="175"/>
        <v>C008069</v>
      </c>
      <c r="P257" s="13">
        <v>0.9</v>
      </c>
      <c r="Q257" s="11" t="str">
        <f>"0.9000"</f>
        <v>0.9000</v>
      </c>
      <c r="R257" s="10" t="str">
        <f t="shared" si="176"/>
        <v>C0004552</v>
      </c>
      <c r="S257" s="14" t="str">
        <f t="shared" si="177"/>
        <v>2129.8300</v>
      </c>
      <c r="T257" s="10">
        <v>21700</v>
      </c>
      <c r="U257" s="10">
        <v>1444</v>
      </c>
      <c r="V257" s="10" t="str">
        <f t="shared" si="178"/>
        <v>Printing Stationery &amp; Off Supp</v>
      </c>
      <c r="W257" s="10" t="str">
        <f t="shared" si="179"/>
        <v>Supplies and Services</v>
      </c>
      <c r="X257" s="10" t="str">
        <f>VLOOKUP(U257,'[1]Account code lookup'!A:B,2,0)</f>
        <v>Stationery</v>
      </c>
      <c r="Z257" s="10" t="str">
        <f t="shared" si="183"/>
        <v>Community Services</v>
      </c>
      <c r="AA257" s="10" t="str">
        <f t="shared" si="184"/>
        <v>Operations and Delivery</v>
      </c>
      <c r="AB257" s="10" t="str">
        <f t="shared" si="185"/>
        <v>5oad</v>
      </c>
      <c r="AD257" s="10" t="str">
        <f t="shared" si="186"/>
        <v>oad01</v>
      </c>
      <c r="AE257" s="10" t="str">
        <f t="shared" si="180"/>
        <v>Environmental Services / Environmental Services Admin</v>
      </c>
      <c r="AG257" s="10" t="str">
        <f t="shared" si="187"/>
        <v>21700/1444</v>
      </c>
      <c r="AI257" s="10" t="str">
        <f t="shared" si="181"/>
        <v>14suse</v>
      </c>
      <c r="AJ257" s="15" t="str">
        <f>"LYRECO STAPLES 26/6 - BOX OF 5000"</f>
        <v>LYRECO STAPLES 26/6 - BOX OF 5000</v>
      </c>
      <c r="AK257" s="10" t="str">
        <f t="shared" si="182"/>
        <v>Revenue</v>
      </c>
      <c r="AL257" s="10" t="str">
        <f>""</f>
        <v/>
      </c>
      <c r="AM257" s="10" t="str">
        <f>""</f>
        <v/>
      </c>
      <c r="AN257" s="10" t="str">
        <f>""</f>
        <v/>
      </c>
      <c r="AO257" s="10" t="str">
        <f>""</f>
        <v/>
      </c>
    </row>
    <row r="258" spans="1:41" s="10" customFormat="1" ht="409.6">
      <c r="A258" s="9"/>
      <c r="B258" s="9"/>
      <c r="C258" s="9"/>
      <c r="D258" s="10" t="str">
        <f>"33992"</f>
        <v>33992</v>
      </c>
      <c r="E258" s="11" t="str">
        <f>""</f>
        <v/>
      </c>
      <c r="F258" s="11" t="str">
        <f t="shared" si="160"/>
        <v>372418</v>
      </c>
      <c r="G258" s="11" t="str">
        <f t="shared" si="161"/>
        <v>2017toJAN</v>
      </c>
      <c r="H258" s="11" t="str">
        <f t="shared" si="162"/>
        <v>CRSP06B</v>
      </c>
      <c r="I258" s="11" t="str">
        <f t="shared" si="163"/>
        <v>34</v>
      </c>
      <c r="J258" s="11" t="str">
        <f t="shared" si="164"/>
        <v>Creditor</v>
      </c>
      <c r="K258" s="11" t="str">
        <f t="shared" si="172"/>
        <v>CS000551</v>
      </c>
      <c r="L258" s="10" t="str">
        <f t="shared" si="173"/>
        <v>Lyreco UK Ltd</v>
      </c>
      <c r="M258" s="12" t="str">
        <f t="shared" si="174"/>
        <v>25/01/2017 00:00:00</v>
      </c>
      <c r="N258" s="12">
        <v>42760</v>
      </c>
      <c r="O258" s="10" t="str">
        <f t="shared" si="175"/>
        <v>C008069</v>
      </c>
      <c r="P258" s="13">
        <v>3.03</v>
      </c>
      <c r="Q258" s="11" t="str">
        <f>"3.0300"</f>
        <v>3.0300</v>
      </c>
      <c r="R258" s="10" t="str">
        <f t="shared" si="176"/>
        <v>C0004552</v>
      </c>
      <c r="S258" s="14" t="str">
        <f t="shared" si="177"/>
        <v>2129.8300</v>
      </c>
      <c r="T258" s="10">
        <v>21700</v>
      </c>
      <c r="U258" s="10">
        <v>1444</v>
      </c>
      <c r="V258" s="10" t="str">
        <f t="shared" si="178"/>
        <v>Printing Stationery &amp; Off Supp</v>
      </c>
      <c r="W258" s="10" t="str">
        <f t="shared" si="179"/>
        <v>Supplies and Services</v>
      </c>
      <c r="X258" s="10" t="str">
        <f>VLOOKUP(U258,'[1]Account code lookup'!A:B,2,0)</f>
        <v>Stationery</v>
      </c>
      <c r="Z258" s="10" t="str">
        <f t="shared" si="183"/>
        <v>Community Services</v>
      </c>
      <c r="AA258" s="10" t="str">
        <f t="shared" si="184"/>
        <v>Operations and Delivery</v>
      </c>
      <c r="AB258" s="10" t="str">
        <f t="shared" si="185"/>
        <v>5oad</v>
      </c>
      <c r="AD258" s="10" t="str">
        <f t="shared" si="186"/>
        <v>oad01</v>
      </c>
      <c r="AE258" s="10" t="str">
        <f t="shared" si="180"/>
        <v>Environmental Services / Environmental Services Admin</v>
      </c>
      <c r="AG258" s="10" t="str">
        <f t="shared" si="187"/>
        <v>21700/1444</v>
      </c>
      <c r="AI258" s="10" t="str">
        <f t="shared" si="181"/>
        <v>14suse</v>
      </c>
      <c r="AJ258" s="15" t="str">
        <f>"LYRECO WHITE C4 SELF SEAL PLAIN ENVELOPES 100GSM - BOX OF 250"</f>
        <v>LYRECO WHITE C4 SELF SEAL PLAIN ENVELOPES 100GSM - BOX OF 250</v>
      </c>
      <c r="AK258" s="10" t="str">
        <f t="shared" si="182"/>
        <v>Revenue</v>
      </c>
      <c r="AL258" s="10" t="str">
        <f>""</f>
        <v/>
      </c>
      <c r="AM258" s="10" t="str">
        <f>""</f>
        <v/>
      </c>
      <c r="AN258" s="10" t="str">
        <f>""</f>
        <v/>
      </c>
      <c r="AO258" s="10" t="str">
        <f>""</f>
        <v/>
      </c>
    </row>
    <row r="259" spans="1:41" s="10" customFormat="1" ht="409.6">
      <c r="A259" s="9"/>
      <c r="B259" s="9"/>
      <c r="C259" s="9"/>
      <c r="D259" s="10" t="str">
        <f>"34051"</f>
        <v>34051</v>
      </c>
      <c r="E259" s="11" t="str">
        <f>""</f>
        <v/>
      </c>
      <c r="F259" s="11" t="str">
        <f t="shared" si="160"/>
        <v>372418</v>
      </c>
      <c r="G259" s="11" t="str">
        <f t="shared" si="161"/>
        <v>2017toJAN</v>
      </c>
      <c r="H259" s="11" t="str">
        <f t="shared" si="162"/>
        <v>CRSP06B</v>
      </c>
      <c r="I259" s="11" t="str">
        <f t="shared" si="163"/>
        <v>34</v>
      </c>
      <c r="J259" s="11" t="str">
        <f t="shared" si="164"/>
        <v>Creditor</v>
      </c>
      <c r="K259" s="11" t="str">
        <f t="shared" si="172"/>
        <v>CS000551</v>
      </c>
      <c r="L259" s="10" t="str">
        <f t="shared" si="173"/>
        <v>Lyreco UK Ltd</v>
      </c>
      <c r="M259" s="12" t="str">
        <f t="shared" si="174"/>
        <v>25/01/2017 00:00:00</v>
      </c>
      <c r="N259" s="12">
        <v>42760</v>
      </c>
      <c r="O259" s="10" t="str">
        <f t="shared" si="175"/>
        <v>C008069</v>
      </c>
      <c r="P259" s="13">
        <v>6.3</v>
      </c>
      <c r="Q259" s="11" t="str">
        <f>"6.3000"</f>
        <v>6.3000</v>
      </c>
      <c r="R259" s="10" t="str">
        <f t="shared" si="176"/>
        <v>C0004552</v>
      </c>
      <c r="S259" s="14" t="str">
        <f t="shared" si="177"/>
        <v>2129.8300</v>
      </c>
      <c r="T259" s="10">
        <v>21700</v>
      </c>
      <c r="U259" s="10">
        <v>1444</v>
      </c>
      <c r="V259" s="10" t="str">
        <f t="shared" si="178"/>
        <v>Printing Stationery &amp; Off Supp</v>
      </c>
      <c r="W259" s="10" t="str">
        <f t="shared" si="179"/>
        <v>Supplies and Services</v>
      </c>
      <c r="X259" s="10" t="str">
        <f>VLOOKUP(U259,'[1]Account code lookup'!A:B,2,0)</f>
        <v>Stationery</v>
      </c>
      <c r="Z259" s="10" t="str">
        <f t="shared" si="183"/>
        <v>Community Services</v>
      </c>
      <c r="AA259" s="10" t="str">
        <f t="shared" si="184"/>
        <v>Operations and Delivery</v>
      </c>
      <c r="AB259" s="10" t="str">
        <f t="shared" si="185"/>
        <v>5oad</v>
      </c>
      <c r="AD259" s="10" t="str">
        <f t="shared" si="186"/>
        <v>oad01</v>
      </c>
      <c r="AE259" s="10" t="str">
        <f t="shared" si="180"/>
        <v>Environmental Services / Environmental Services Admin</v>
      </c>
      <c r="AG259" s="10" t="str">
        <f t="shared" si="187"/>
        <v>21700/1444</v>
      </c>
      <c r="AI259" s="10" t="str">
        <f t="shared" si="181"/>
        <v>14suse</v>
      </c>
      <c r="AJ259" s="15" t="str">
        <f>"LYRECO WHITE C4 SELF SEAL WINDOW ENVELOPES 100GSM - BOX OF 250"</f>
        <v>LYRECO WHITE C4 SELF SEAL WINDOW ENVELOPES 100GSM - BOX OF 250</v>
      </c>
      <c r="AK259" s="10" t="str">
        <f t="shared" si="182"/>
        <v>Revenue</v>
      </c>
      <c r="AL259" s="10" t="str">
        <f>""</f>
        <v/>
      </c>
      <c r="AM259" s="10" t="str">
        <f>""</f>
        <v/>
      </c>
      <c r="AN259" s="10" t="str">
        <f>""</f>
        <v/>
      </c>
      <c r="AO259" s="10" t="str">
        <f>""</f>
        <v/>
      </c>
    </row>
    <row r="260" spans="1:41" s="10" customFormat="1" ht="409.6">
      <c r="A260" s="9"/>
      <c r="B260" s="9"/>
      <c r="C260" s="9"/>
      <c r="D260" s="10" t="str">
        <f>"34765"</f>
        <v>34765</v>
      </c>
      <c r="E260" s="11" t="str">
        <f>""</f>
        <v/>
      </c>
      <c r="F260" s="11" t="str">
        <f t="shared" si="160"/>
        <v>372418</v>
      </c>
      <c r="G260" s="11" t="str">
        <f t="shared" si="161"/>
        <v>2017toJAN</v>
      </c>
      <c r="H260" s="11" t="str">
        <f t="shared" si="162"/>
        <v>CRSP06B</v>
      </c>
      <c r="I260" s="11" t="str">
        <f t="shared" si="163"/>
        <v>34</v>
      </c>
      <c r="J260" s="11" t="str">
        <f t="shared" si="164"/>
        <v>Creditor</v>
      </c>
      <c r="K260" s="11" t="str">
        <f t="shared" si="172"/>
        <v>CS000551</v>
      </c>
      <c r="L260" s="10" t="str">
        <f t="shared" si="173"/>
        <v>Lyreco UK Ltd</v>
      </c>
      <c r="M260" s="12" t="str">
        <f t="shared" si="174"/>
        <v>25/01/2017 00:00:00</v>
      </c>
      <c r="N260" s="12">
        <v>42760</v>
      </c>
      <c r="O260" s="10" t="str">
        <f t="shared" si="175"/>
        <v>C008069</v>
      </c>
      <c r="P260" s="13">
        <v>7.98</v>
      </c>
      <c r="Q260" s="11" t="str">
        <f>"7.9800"</f>
        <v>7.9800</v>
      </c>
      <c r="R260" s="10" t="str">
        <f t="shared" si="176"/>
        <v>C0004552</v>
      </c>
      <c r="S260" s="14" t="str">
        <f t="shared" si="177"/>
        <v>2129.8300</v>
      </c>
      <c r="T260" s="10">
        <v>21700</v>
      </c>
      <c r="U260" s="10">
        <v>1444</v>
      </c>
      <c r="V260" s="10" t="str">
        <f t="shared" si="178"/>
        <v>Printing Stationery &amp; Off Supp</v>
      </c>
      <c r="W260" s="10" t="str">
        <f t="shared" si="179"/>
        <v>Supplies and Services</v>
      </c>
      <c r="X260" s="10" t="str">
        <f>VLOOKUP(U260,'[1]Account code lookup'!A:B,2,0)</f>
        <v>Stationery</v>
      </c>
      <c r="Z260" s="10" t="str">
        <f t="shared" si="183"/>
        <v>Community Services</v>
      </c>
      <c r="AA260" s="10" t="str">
        <f t="shared" si="184"/>
        <v>Operations and Delivery</v>
      </c>
      <c r="AB260" s="10" t="str">
        <f t="shared" si="185"/>
        <v>5oad</v>
      </c>
      <c r="AD260" s="10" t="str">
        <f t="shared" si="186"/>
        <v>oad01</v>
      </c>
      <c r="AE260" s="10" t="str">
        <f t="shared" si="180"/>
        <v>Environmental Services / Environmental Services Admin</v>
      </c>
      <c r="AG260" s="10" t="str">
        <f t="shared" si="187"/>
        <v>21700/1444</v>
      </c>
      <c r="AI260" s="10" t="str">
        <f t="shared" si="181"/>
        <v>14suse</v>
      </c>
      <c r="AJ260" s="15" t="str">
        <f>"LYRECO WHITE C5 SELF SEAL WINDOW ENVELOPES 90GSM - BOX OF 500"</f>
        <v>LYRECO WHITE C5 SELF SEAL WINDOW ENVELOPES 90GSM - BOX OF 500</v>
      </c>
      <c r="AK260" s="10" t="str">
        <f t="shared" si="182"/>
        <v>Revenue</v>
      </c>
      <c r="AL260" s="10" t="str">
        <f>""</f>
        <v/>
      </c>
      <c r="AM260" s="10" t="str">
        <f>""</f>
        <v/>
      </c>
      <c r="AN260" s="10" t="str">
        <f>""</f>
        <v/>
      </c>
      <c r="AO260" s="10" t="str">
        <f>""</f>
        <v/>
      </c>
    </row>
    <row r="261" spans="1:41" s="10" customFormat="1" ht="409.6">
      <c r="A261" s="9"/>
      <c r="B261" s="9"/>
      <c r="C261" s="9"/>
      <c r="D261" s="10" t="str">
        <f>"34841"</f>
        <v>34841</v>
      </c>
      <c r="E261" s="11" t="str">
        <f>""</f>
        <v/>
      </c>
      <c r="F261" s="11" t="str">
        <f t="shared" si="160"/>
        <v>372418</v>
      </c>
      <c r="G261" s="11" t="str">
        <f t="shared" si="161"/>
        <v>2017toJAN</v>
      </c>
      <c r="H261" s="11" t="str">
        <f t="shared" si="162"/>
        <v>CRSP06B</v>
      </c>
      <c r="I261" s="11" t="str">
        <f t="shared" si="163"/>
        <v>34</v>
      </c>
      <c r="J261" s="11" t="str">
        <f t="shared" si="164"/>
        <v>Creditor</v>
      </c>
      <c r="K261" s="11" t="str">
        <f t="shared" si="172"/>
        <v>CS000551</v>
      </c>
      <c r="L261" s="10" t="str">
        <f t="shared" si="173"/>
        <v>Lyreco UK Ltd</v>
      </c>
      <c r="M261" s="12" t="str">
        <f t="shared" si="174"/>
        <v>25/01/2017 00:00:00</v>
      </c>
      <c r="N261" s="12">
        <v>42760</v>
      </c>
      <c r="O261" s="10" t="str">
        <f t="shared" si="175"/>
        <v>C008069</v>
      </c>
      <c r="P261" s="13">
        <v>2.72</v>
      </c>
      <c r="Q261" s="11" t="str">
        <f>"2.7200"</f>
        <v>2.7200</v>
      </c>
      <c r="R261" s="10" t="str">
        <f t="shared" si="176"/>
        <v>C0004552</v>
      </c>
      <c r="S261" s="14" t="str">
        <f t="shared" si="177"/>
        <v>2129.8300</v>
      </c>
      <c r="T261" s="10">
        <v>21703</v>
      </c>
      <c r="U261" s="10">
        <v>1444</v>
      </c>
      <c r="V261" s="10" t="str">
        <f t="shared" si="178"/>
        <v>Printing Stationery &amp; Off Supp</v>
      </c>
      <c r="W261" s="10" t="str">
        <f t="shared" si="179"/>
        <v>Supplies and Services</v>
      </c>
      <c r="X261" s="10" t="str">
        <f>VLOOKUP(U261,'[1]Account code lookup'!A:B,2,0)</f>
        <v>Stationery</v>
      </c>
      <c r="Z261" s="10" t="str">
        <f t="shared" si="183"/>
        <v>Community Services</v>
      </c>
      <c r="AA261" s="10" t="str">
        <f t="shared" si="184"/>
        <v>Operations and Delivery</v>
      </c>
      <c r="AB261" s="10" t="str">
        <f t="shared" si="185"/>
        <v>5oad</v>
      </c>
      <c r="AD261" s="10" t="str">
        <f t="shared" si="186"/>
        <v>oad01</v>
      </c>
      <c r="AE261" s="10" t="str">
        <f t="shared" si="180"/>
        <v>Environmental Services / Environmental Services Admin</v>
      </c>
      <c r="AG261" s="10" t="str">
        <f>"21703/1444"</f>
        <v>21703/1444</v>
      </c>
      <c r="AI261" s="10" t="str">
        <f t="shared" si="181"/>
        <v>14suse</v>
      </c>
      <c r="AJ261" s="15" t="str">
        <f>"ENERGIZER 1ST PRICE BATTERIES LR03/AAA - PACK OF 10"</f>
        <v>ENERGIZER 1ST PRICE BATTERIES LR03/AAA - PACK OF 10</v>
      </c>
      <c r="AK261" s="10" t="str">
        <f t="shared" si="182"/>
        <v>Revenue</v>
      </c>
      <c r="AL261" s="10" t="str">
        <f>""</f>
        <v/>
      </c>
      <c r="AM261" s="10" t="str">
        <f>""</f>
        <v/>
      </c>
      <c r="AN261" s="10" t="str">
        <f>""</f>
        <v/>
      </c>
      <c r="AO261" s="10" t="str">
        <f>""</f>
        <v/>
      </c>
    </row>
    <row r="262" spans="1:41" s="10" customFormat="1" ht="409.6">
      <c r="A262" s="9"/>
      <c r="B262" s="9"/>
      <c r="C262" s="9"/>
      <c r="D262" s="10" t="str">
        <f>"27621"</f>
        <v>27621</v>
      </c>
      <c r="E262" s="11" t="str">
        <f>""</f>
        <v/>
      </c>
      <c r="F262" s="11" t="str">
        <f t="shared" si="160"/>
        <v>372418</v>
      </c>
      <c r="G262" s="11" t="str">
        <f t="shared" si="161"/>
        <v>2017toJAN</v>
      </c>
      <c r="H262" s="11" t="str">
        <f t="shared" si="162"/>
        <v>CRSP06B</v>
      </c>
      <c r="I262" s="11" t="str">
        <f t="shared" si="163"/>
        <v>34</v>
      </c>
      <c r="J262" s="11" t="str">
        <f t="shared" si="164"/>
        <v>Creditor</v>
      </c>
      <c r="K262" s="11" t="str">
        <f t="shared" si="172"/>
        <v>CS000551</v>
      </c>
      <c r="L262" s="10" t="str">
        <f t="shared" si="173"/>
        <v>Lyreco UK Ltd</v>
      </c>
      <c r="M262" s="12" t="str">
        <f t="shared" si="174"/>
        <v>25/01/2017 00:00:00</v>
      </c>
      <c r="N262" s="12">
        <v>42760</v>
      </c>
      <c r="O262" s="10" t="str">
        <f t="shared" si="175"/>
        <v>C008069</v>
      </c>
      <c r="P262" s="13">
        <v>1.52</v>
      </c>
      <c r="Q262" s="11" t="str">
        <f>"1.5200"</f>
        <v>1.5200</v>
      </c>
      <c r="R262" s="10" t="str">
        <f t="shared" si="176"/>
        <v>C0004552</v>
      </c>
      <c r="S262" s="14" t="str">
        <f t="shared" si="177"/>
        <v>2129.8300</v>
      </c>
      <c r="T262" s="10">
        <v>21703</v>
      </c>
      <c r="U262" s="10">
        <v>1444</v>
      </c>
      <c r="V262" s="10" t="str">
        <f t="shared" si="178"/>
        <v>Printing Stationery &amp; Off Supp</v>
      </c>
      <c r="W262" s="10" t="str">
        <f t="shared" si="179"/>
        <v>Supplies and Services</v>
      </c>
      <c r="X262" s="10" t="str">
        <f>VLOOKUP(U262,'[1]Account code lookup'!A:B,2,0)</f>
        <v>Stationery</v>
      </c>
      <c r="Z262" s="10" t="str">
        <f t="shared" si="183"/>
        <v>Community Services</v>
      </c>
      <c r="AA262" s="10" t="str">
        <f t="shared" si="184"/>
        <v>Operations and Delivery</v>
      </c>
      <c r="AB262" s="10" t="str">
        <f t="shared" si="185"/>
        <v>5oad</v>
      </c>
      <c r="AD262" s="10" t="str">
        <f t="shared" si="186"/>
        <v>oad01</v>
      </c>
      <c r="AE262" s="10" t="str">
        <f t="shared" si="180"/>
        <v>Environmental Services / Environmental Services Admin</v>
      </c>
      <c r="AG262" s="10" t="str">
        <f>"21703/1444"</f>
        <v>21703/1444</v>
      </c>
      <c r="AI262" s="10" t="str">
        <f t="shared" si="181"/>
        <v>14suse</v>
      </c>
      <c r="AJ262" s="15" t="str">
        <f>"LYRECO A4 DESK DIARY BLACK - WEEK TO VIEW"</f>
        <v>LYRECO A4 DESK DIARY BLACK - WEEK TO VIEW</v>
      </c>
      <c r="AK262" s="10" t="str">
        <f t="shared" si="182"/>
        <v>Revenue</v>
      </c>
      <c r="AL262" s="10" t="str">
        <f>""</f>
        <v/>
      </c>
      <c r="AM262" s="10" t="str">
        <f>""</f>
        <v/>
      </c>
      <c r="AN262" s="10" t="str">
        <f>""</f>
        <v/>
      </c>
      <c r="AO262" s="10" t="str">
        <f>""</f>
        <v/>
      </c>
    </row>
    <row r="263" spans="1:41" s="10" customFormat="1" ht="409.6">
      <c r="A263" s="9"/>
      <c r="B263" s="9"/>
      <c r="C263" s="9"/>
      <c r="D263" s="10" t="str">
        <f>"28198"</f>
        <v>28198</v>
      </c>
      <c r="E263" s="11" t="str">
        <f>""</f>
        <v/>
      </c>
      <c r="F263" s="11" t="str">
        <f t="shared" si="160"/>
        <v>372418</v>
      </c>
      <c r="G263" s="11" t="str">
        <f t="shared" si="161"/>
        <v>2017toJAN</v>
      </c>
      <c r="H263" s="11" t="str">
        <f t="shared" si="162"/>
        <v>CRSP06B</v>
      </c>
      <c r="I263" s="11" t="str">
        <f t="shared" si="163"/>
        <v>34</v>
      </c>
      <c r="J263" s="11" t="str">
        <f t="shared" si="164"/>
        <v>Creditor</v>
      </c>
      <c r="K263" s="11" t="str">
        <f t="shared" si="172"/>
        <v>CS000551</v>
      </c>
      <c r="L263" s="10" t="str">
        <f t="shared" si="173"/>
        <v>Lyreco UK Ltd</v>
      </c>
      <c r="M263" s="12" t="str">
        <f t="shared" si="174"/>
        <v>25/01/2017 00:00:00</v>
      </c>
      <c r="N263" s="12">
        <v>42760</v>
      </c>
      <c r="O263" s="10" t="str">
        <f t="shared" si="175"/>
        <v>C008069</v>
      </c>
      <c r="P263" s="13">
        <v>1.01</v>
      </c>
      <c r="Q263" s="11" t="str">
        <f>"1.0100"</f>
        <v>1.0100</v>
      </c>
      <c r="R263" s="10" t="str">
        <f t="shared" si="176"/>
        <v>C0004552</v>
      </c>
      <c r="S263" s="14" t="str">
        <f t="shared" si="177"/>
        <v>2129.8300</v>
      </c>
      <c r="T263" s="10">
        <v>21703</v>
      </c>
      <c r="U263" s="10">
        <v>1444</v>
      </c>
      <c r="V263" s="10" t="str">
        <f t="shared" si="178"/>
        <v>Printing Stationery &amp; Off Supp</v>
      </c>
      <c r="W263" s="10" t="str">
        <f t="shared" si="179"/>
        <v>Supplies and Services</v>
      </c>
      <c r="X263" s="10" t="str">
        <f>VLOOKUP(U263,'[1]Account code lookup'!A:B,2,0)</f>
        <v>Stationery</v>
      </c>
      <c r="Z263" s="10" t="str">
        <f t="shared" si="183"/>
        <v>Community Services</v>
      </c>
      <c r="AA263" s="10" t="str">
        <f t="shared" si="184"/>
        <v>Operations and Delivery</v>
      </c>
      <c r="AB263" s="10" t="str">
        <f t="shared" si="185"/>
        <v>5oad</v>
      </c>
      <c r="AD263" s="10" t="str">
        <f t="shared" si="186"/>
        <v>oad01</v>
      </c>
      <c r="AE263" s="10" t="str">
        <f t="shared" si="180"/>
        <v>Environmental Services / Environmental Services Admin</v>
      </c>
      <c r="AG263" s="10" t="str">
        <f>"21703/1444"</f>
        <v>21703/1444</v>
      </c>
      <c r="AI263" s="10" t="str">
        <f t="shared" si="181"/>
        <v>14suse</v>
      </c>
      <c r="AJ263" s="15" t="str">
        <f>"LYRECO A5 DESK DIARY BLACK - WEEK TO VIEW"</f>
        <v>LYRECO A5 DESK DIARY BLACK - WEEK TO VIEW</v>
      </c>
      <c r="AK263" s="10" t="str">
        <f t="shared" si="182"/>
        <v>Revenue</v>
      </c>
      <c r="AL263" s="10" t="str">
        <f>""</f>
        <v/>
      </c>
      <c r="AM263" s="10" t="str">
        <f>""</f>
        <v/>
      </c>
      <c r="AN263" s="10" t="str">
        <f>""</f>
        <v/>
      </c>
      <c r="AO263" s="10" t="str">
        <f>""</f>
        <v/>
      </c>
    </row>
    <row r="264" spans="1:41" s="10" customFormat="1" ht="409.6">
      <c r="A264" s="9"/>
      <c r="B264" s="9"/>
      <c r="C264" s="9"/>
      <c r="D264" s="10" t="str">
        <f>"28199"</f>
        <v>28199</v>
      </c>
      <c r="E264" s="11" t="str">
        <f>""</f>
        <v/>
      </c>
      <c r="F264" s="11" t="str">
        <f t="shared" si="160"/>
        <v>372418</v>
      </c>
      <c r="G264" s="11" t="str">
        <f t="shared" si="161"/>
        <v>2017toJAN</v>
      </c>
      <c r="H264" s="11" t="str">
        <f t="shared" si="162"/>
        <v>CRSP06B</v>
      </c>
      <c r="I264" s="11" t="str">
        <f t="shared" si="163"/>
        <v>34</v>
      </c>
      <c r="J264" s="11" t="str">
        <f t="shared" si="164"/>
        <v>Creditor</v>
      </c>
      <c r="K264" s="11" t="str">
        <f t="shared" si="172"/>
        <v>CS000551</v>
      </c>
      <c r="L264" s="10" t="str">
        <f t="shared" si="173"/>
        <v>Lyreco UK Ltd</v>
      </c>
      <c r="M264" s="12" t="str">
        <f t="shared" si="174"/>
        <v>25/01/2017 00:00:00</v>
      </c>
      <c r="N264" s="12">
        <v>42760</v>
      </c>
      <c r="O264" s="10" t="str">
        <f t="shared" si="175"/>
        <v>C008069</v>
      </c>
      <c r="P264" s="13">
        <v>5.8</v>
      </c>
      <c r="Q264" s="11" t="str">
        <f>"5.8000"</f>
        <v>5.8000</v>
      </c>
      <c r="R264" s="10" t="str">
        <f t="shared" si="176"/>
        <v>C0004552</v>
      </c>
      <c r="S264" s="14" t="str">
        <f t="shared" si="177"/>
        <v>2129.8300</v>
      </c>
      <c r="T264" s="10">
        <v>21703</v>
      </c>
      <c r="U264" s="10">
        <v>1444</v>
      </c>
      <c r="V264" s="10" t="str">
        <f t="shared" si="178"/>
        <v>Printing Stationery &amp; Off Supp</v>
      </c>
      <c r="W264" s="10" t="str">
        <f t="shared" si="179"/>
        <v>Supplies and Services</v>
      </c>
      <c r="X264" s="10" t="str">
        <f>VLOOKUP(U264,'[1]Account code lookup'!A:B,2,0)</f>
        <v>Stationery</v>
      </c>
      <c r="Z264" s="10" t="str">
        <f t="shared" si="183"/>
        <v>Community Services</v>
      </c>
      <c r="AA264" s="10" t="str">
        <f t="shared" si="184"/>
        <v>Operations and Delivery</v>
      </c>
      <c r="AB264" s="10" t="str">
        <f t="shared" si="185"/>
        <v>5oad</v>
      </c>
      <c r="AD264" s="10" t="str">
        <f t="shared" si="186"/>
        <v>oad01</v>
      </c>
      <c r="AE264" s="10" t="str">
        <f t="shared" si="180"/>
        <v>Environmental Services / Environmental Services Admin</v>
      </c>
      <c r="AG264" s="10" t="str">
        <f>"21703/1444"</f>
        <v>21703/1444</v>
      </c>
      <c r="AI264" s="10" t="str">
        <f t="shared" si="181"/>
        <v>14suse</v>
      </c>
      <c r="AJ264" s="15" t="str">
        <f>"LYRECO HARD BACK TWIN WIRE NOTEBOOK A5 - PACK OF 5"</f>
        <v>LYRECO HARD BACK TWIN WIRE NOTEBOOK A5 - PACK OF 5</v>
      </c>
      <c r="AK264" s="10" t="str">
        <f t="shared" si="182"/>
        <v>Revenue</v>
      </c>
      <c r="AL264" s="10" t="str">
        <f>""</f>
        <v/>
      </c>
      <c r="AM264" s="10" t="str">
        <f>""</f>
        <v/>
      </c>
      <c r="AN264" s="10" t="str">
        <f>""</f>
        <v/>
      </c>
      <c r="AO264" s="10" t="str">
        <f>""</f>
        <v/>
      </c>
    </row>
    <row r="265" spans="1:41" s="10" customFormat="1" ht="409.6">
      <c r="A265" s="9"/>
      <c r="B265" s="9"/>
      <c r="C265" s="9"/>
      <c r="D265" s="10" t="str">
        <f>"28200"</f>
        <v>28200</v>
      </c>
      <c r="E265" s="11" t="str">
        <f>""</f>
        <v/>
      </c>
      <c r="F265" s="11" t="str">
        <f t="shared" si="160"/>
        <v>372418</v>
      </c>
      <c r="G265" s="11" t="str">
        <f t="shared" si="161"/>
        <v>2017toJAN</v>
      </c>
      <c r="H265" s="11" t="str">
        <f t="shared" si="162"/>
        <v>CRSP06B</v>
      </c>
      <c r="I265" s="11" t="str">
        <f t="shared" si="163"/>
        <v>34</v>
      </c>
      <c r="J265" s="11" t="str">
        <f t="shared" si="164"/>
        <v>Creditor</v>
      </c>
      <c r="K265" s="11" t="str">
        <f t="shared" si="172"/>
        <v>CS000551</v>
      </c>
      <c r="L265" s="10" t="str">
        <f t="shared" si="173"/>
        <v>Lyreco UK Ltd</v>
      </c>
      <c r="M265" s="12" t="str">
        <f t="shared" si="174"/>
        <v>25/01/2017 00:00:00</v>
      </c>
      <c r="N265" s="12">
        <v>42760</v>
      </c>
      <c r="O265" s="10" t="str">
        <f t="shared" si="175"/>
        <v>C008069</v>
      </c>
      <c r="P265" s="13">
        <v>1.32</v>
      </c>
      <c r="Q265" s="11" t="str">
        <f>"1.3200"</f>
        <v>1.3200</v>
      </c>
      <c r="R265" s="10" t="str">
        <f t="shared" si="176"/>
        <v>C0004552</v>
      </c>
      <c r="S265" s="14" t="str">
        <f t="shared" si="177"/>
        <v>2129.8300</v>
      </c>
      <c r="T265" s="10">
        <v>21703</v>
      </c>
      <c r="U265" s="10">
        <v>1444</v>
      </c>
      <c r="V265" s="10" t="str">
        <f t="shared" si="178"/>
        <v>Printing Stationery &amp; Off Supp</v>
      </c>
      <c r="W265" s="10" t="str">
        <f t="shared" si="179"/>
        <v>Supplies and Services</v>
      </c>
      <c r="X265" s="10" t="str">
        <f>VLOOKUP(U265,'[1]Account code lookup'!A:B,2,0)</f>
        <v>Stationery</v>
      </c>
      <c r="Z265" s="10" t="str">
        <f t="shared" si="183"/>
        <v>Community Services</v>
      </c>
      <c r="AA265" s="10" t="str">
        <f t="shared" si="184"/>
        <v>Operations and Delivery</v>
      </c>
      <c r="AB265" s="10" t="str">
        <f t="shared" si="185"/>
        <v>5oad</v>
      </c>
      <c r="AD265" s="10" t="str">
        <f t="shared" si="186"/>
        <v>oad01</v>
      </c>
      <c r="AE265" s="10" t="str">
        <f t="shared" si="180"/>
        <v>Environmental Services / Environmental Services Admin</v>
      </c>
      <c r="AG265" s="10" t="str">
        <f>"21703/1444"</f>
        <v>21703/1444</v>
      </c>
      <c r="AI265" s="10" t="str">
        <f t="shared" si="181"/>
        <v>14suse</v>
      </c>
      <c r="AJ265" s="15" t="str">
        <f>"LYRECO UNMOUNTED LANDSCAPE YEAR PLANNER - 915 X 610MM"</f>
        <v>LYRECO UNMOUNTED LANDSCAPE YEAR PLANNER - 915 X 610MM</v>
      </c>
      <c r="AK265" s="10" t="str">
        <f t="shared" si="182"/>
        <v>Revenue</v>
      </c>
      <c r="AL265" s="10" t="str">
        <f>""</f>
        <v/>
      </c>
      <c r="AM265" s="10" t="str">
        <f>""</f>
        <v/>
      </c>
      <c r="AN265" s="10" t="str">
        <f>""</f>
        <v/>
      </c>
      <c r="AO265" s="10" t="str">
        <f>""</f>
        <v/>
      </c>
    </row>
    <row r="266" spans="1:41" s="10" customFormat="1" ht="409.6">
      <c r="A266" s="9"/>
      <c r="B266" s="9"/>
      <c r="C266" s="9"/>
      <c r="D266" s="10" t="str">
        <f>"28569"</f>
        <v>28569</v>
      </c>
      <c r="E266" s="11" t="str">
        <f>""</f>
        <v/>
      </c>
      <c r="F266" s="11" t="str">
        <f t="shared" si="160"/>
        <v>372418</v>
      </c>
      <c r="G266" s="11" t="str">
        <f t="shared" si="161"/>
        <v>2017toJAN</v>
      </c>
      <c r="H266" s="11" t="str">
        <f t="shared" si="162"/>
        <v>CRSP06B</v>
      </c>
      <c r="I266" s="11" t="str">
        <f t="shared" si="163"/>
        <v>34</v>
      </c>
      <c r="J266" s="11" t="str">
        <f t="shared" si="164"/>
        <v>Creditor</v>
      </c>
      <c r="K266" s="11" t="str">
        <f t="shared" si="172"/>
        <v>CS000551</v>
      </c>
      <c r="L266" s="10" t="str">
        <f t="shared" si="173"/>
        <v>Lyreco UK Ltd</v>
      </c>
      <c r="M266" s="12" t="str">
        <f t="shared" si="174"/>
        <v>25/01/2017 00:00:00</v>
      </c>
      <c r="N266" s="12">
        <v>42760</v>
      </c>
      <c r="O266" s="10" t="str">
        <f t="shared" si="175"/>
        <v>C008069</v>
      </c>
      <c r="P266" s="13">
        <v>8.9600000000000009</v>
      </c>
      <c r="Q266" s="11" t="str">
        <f>"8.9600"</f>
        <v>8.9600</v>
      </c>
      <c r="R266" s="10" t="str">
        <f t="shared" si="176"/>
        <v>C0004552</v>
      </c>
      <c r="S266" s="14" t="str">
        <f t="shared" si="177"/>
        <v>2129.8300</v>
      </c>
      <c r="T266" s="10">
        <v>21704</v>
      </c>
      <c r="U266" s="10">
        <v>1444</v>
      </c>
      <c r="V266" s="10" t="str">
        <f t="shared" si="178"/>
        <v>Printing Stationery &amp; Off Supp</v>
      </c>
      <c r="W266" s="10" t="str">
        <f t="shared" si="179"/>
        <v>Supplies and Services</v>
      </c>
      <c r="X266" s="10" t="str">
        <f>VLOOKUP(U266,'[1]Account code lookup'!A:B,2,0)</f>
        <v>Stationery</v>
      </c>
      <c r="Z266" s="10" t="str">
        <f t="shared" si="183"/>
        <v>Community Services</v>
      </c>
      <c r="AA266" s="10" t="str">
        <f t="shared" si="184"/>
        <v>Operations and Delivery</v>
      </c>
      <c r="AB266" s="10" t="str">
        <f t="shared" si="185"/>
        <v>5oad</v>
      </c>
      <c r="AD266" s="10" t="str">
        <f t="shared" si="186"/>
        <v>oad01</v>
      </c>
      <c r="AE266" s="10" t="str">
        <f t="shared" si="180"/>
        <v>Environmental Services / Environmental Services Admin</v>
      </c>
      <c r="AG266" s="10" t="str">
        <f t="shared" ref="AG266:AG278" si="188">"21704/1444"</f>
        <v>21704/1444</v>
      </c>
      <c r="AI266" s="10" t="str">
        <f t="shared" si="181"/>
        <v>14suse</v>
      </c>
      <c r="AJ266" s="15" t="str">
        <f>"LYRECO A3 GLOSS LAMINATING POUCHES 250 MICRON (2 X 125) - PACK OF 100"</f>
        <v>LYRECO A3 GLOSS LAMINATING POUCHES 250 MICRON (2 X 125) - PACK OF 100</v>
      </c>
      <c r="AK266" s="10" t="str">
        <f t="shared" si="182"/>
        <v>Revenue</v>
      </c>
      <c r="AL266" s="10" t="str">
        <f>""</f>
        <v/>
      </c>
      <c r="AM266" s="10" t="str">
        <f>""</f>
        <v/>
      </c>
      <c r="AN266" s="10" t="str">
        <f>""</f>
        <v/>
      </c>
      <c r="AO266" s="10" t="str">
        <f>""</f>
        <v/>
      </c>
    </row>
    <row r="267" spans="1:41" s="10" customFormat="1" ht="409.6">
      <c r="A267" s="9"/>
      <c r="B267" s="9"/>
      <c r="C267" s="9"/>
      <c r="D267" s="10" t="str">
        <f>"28832"</f>
        <v>28832</v>
      </c>
      <c r="E267" s="11" t="str">
        <f>""</f>
        <v/>
      </c>
      <c r="F267" s="11" t="str">
        <f t="shared" si="160"/>
        <v>372418</v>
      </c>
      <c r="G267" s="11" t="str">
        <f t="shared" si="161"/>
        <v>2017toJAN</v>
      </c>
      <c r="H267" s="11" t="str">
        <f t="shared" si="162"/>
        <v>CRSP06B</v>
      </c>
      <c r="I267" s="11" t="str">
        <f t="shared" si="163"/>
        <v>34</v>
      </c>
      <c r="J267" s="11" t="str">
        <f t="shared" si="164"/>
        <v>Creditor</v>
      </c>
      <c r="K267" s="11" t="str">
        <f t="shared" si="172"/>
        <v>CS000551</v>
      </c>
      <c r="L267" s="10" t="str">
        <f t="shared" si="173"/>
        <v>Lyreco UK Ltd</v>
      </c>
      <c r="M267" s="12" t="str">
        <f t="shared" si="174"/>
        <v>25/01/2017 00:00:00</v>
      </c>
      <c r="N267" s="12">
        <v>42760</v>
      </c>
      <c r="O267" s="10" t="str">
        <f t="shared" si="175"/>
        <v>C008069</v>
      </c>
      <c r="P267" s="13">
        <v>22.5</v>
      </c>
      <c r="Q267" s="11" t="str">
        <f>"22.5000"</f>
        <v>22.5000</v>
      </c>
      <c r="R267" s="10" t="str">
        <f t="shared" si="176"/>
        <v>C0004552</v>
      </c>
      <c r="S267" s="14" t="str">
        <f t="shared" si="177"/>
        <v>2129.8300</v>
      </c>
      <c r="T267" s="10">
        <v>21704</v>
      </c>
      <c r="U267" s="10">
        <v>1444</v>
      </c>
      <c r="V267" s="10" t="str">
        <f t="shared" si="178"/>
        <v>Printing Stationery &amp; Off Supp</v>
      </c>
      <c r="W267" s="10" t="str">
        <f t="shared" si="179"/>
        <v>Supplies and Services</v>
      </c>
      <c r="X267" s="10" t="str">
        <f>VLOOKUP(U267,'[1]Account code lookup'!A:B,2,0)</f>
        <v>Stationery</v>
      </c>
      <c r="Z267" s="10" t="str">
        <f t="shared" si="183"/>
        <v>Community Services</v>
      </c>
      <c r="AA267" s="10" t="str">
        <f t="shared" si="184"/>
        <v>Operations and Delivery</v>
      </c>
      <c r="AB267" s="10" t="str">
        <f t="shared" si="185"/>
        <v>5oad</v>
      </c>
      <c r="AD267" s="10" t="str">
        <f t="shared" si="186"/>
        <v>oad01</v>
      </c>
      <c r="AE267" s="10" t="str">
        <f t="shared" si="180"/>
        <v>Environmental Services / Environmental Services Admin</v>
      </c>
      <c r="AG267" s="10" t="str">
        <f t="shared" si="188"/>
        <v>21704/1444</v>
      </c>
      <c r="AI267" s="10" t="str">
        <f t="shared" si="181"/>
        <v>14suse</v>
      </c>
      <c r="AJ267" s="15" t="str">
        <f>"LYRECO AIR DUSTER SPRAY 400ML NON FLAMMABLE"</f>
        <v>LYRECO AIR DUSTER SPRAY 400ML NON FLAMMABLE</v>
      </c>
      <c r="AK267" s="10" t="str">
        <f t="shared" si="182"/>
        <v>Revenue</v>
      </c>
      <c r="AL267" s="10" t="str">
        <f>""</f>
        <v/>
      </c>
      <c r="AM267" s="10" t="str">
        <f>""</f>
        <v/>
      </c>
      <c r="AN267" s="10" t="str">
        <f>""</f>
        <v/>
      </c>
      <c r="AO267" s="10" t="str">
        <f>""</f>
        <v/>
      </c>
    </row>
    <row r="268" spans="1:41" s="10" customFormat="1" ht="409.6">
      <c r="A268" s="9"/>
      <c r="B268" s="9"/>
      <c r="C268" s="9"/>
      <c r="D268" s="10" t="str">
        <f>"28833"</f>
        <v>28833</v>
      </c>
      <c r="E268" s="11" t="str">
        <f>""</f>
        <v/>
      </c>
      <c r="F268" s="11" t="str">
        <f t="shared" si="160"/>
        <v>372418</v>
      </c>
      <c r="G268" s="11" t="str">
        <f t="shared" si="161"/>
        <v>2017toJAN</v>
      </c>
      <c r="H268" s="11" t="str">
        <f t="shared" si="162"/>
        <v>CRSP06B</v>
      </c>
      <c r="I268" s="11" t="str">
        <f t="shared" si="163"/>
        <v>34</v>
      </c>
      <c r="J268" s="11" t="str">
        <f t="shared" si="164"/>
        <v>Creditor</v>
      </c>
      <c r="K268" s="11" t="str">
        <f t="shared" si="172"/>
        <v>CS000551</v>
      </c>
      <c r="L268" s="10" t="str">
        <f t="shared" si="173"/>
        <v>Lyreco UK Ltd</v>
      </c>
      <c r="M268" s="12" t="str">
        <f t="shared" si="174"/>
        <v>25/01/2017 00:00:00</v>
      </c>
      <c r="N268" s="12">
        <v>42760</v>
      </c>
      <c r="O268" s="10" t="str">
        <f t="shared" si="175"/>
        <v>C008069</v>
      </c>
      <c r="P268" s="13">
        <v>5.72</v>
      </c>
      <c r="Q268" s="11" t="str">
        <f>"5.7200"</f>
        <v>5.7200</v>
      </c>
      <c r="R268" s="10" t="str">
        <f t="shared" si="176"/>
        <v>C0004552</v>
      </c>
      <c r="S268" s="14" t="str">
        <f t="shared" si="177"/>
        <v>2129.8300</v>
      </c>
      <c r="T268" s="10">
        <v>21704</v>
      </c>
      <c r="U268" s="10">
        <v>1444</v>
      </c>
      <c r="V268" s="10" t="str">
        <f t="shared" si="178"/>
        <v>Printing Stationery &amp; Off Supp</v>
      </c>
      <c r="W268" s="10" t="str">
        <f t="shared" si="179"/>
        <v>Supplies and Services</v>
      </c>
      <c r="X268" s="10" t="str">
        <f>VLOOKUP(U268,'[1]Account code lookup'!A:B,2,0)</f>
        <v>Stationery</v>
      </c>
      <c r="Z268" s="10" t="str">
        <f t="shared" si="183"/>
        <v>Community Services</v>
      </c>
      <c r="AA268" s="10" t="str">
        <f t="shared" si="184"/>
        <v>Operations and Delivery</v>
      </c>
      <c r="AB268" s="10" t="str">
        <f t="shared" si="185"/>
        <v>5oad</v>
      </c>
      <c r="AD268" s="10" t="str">
        <f t="shared" si="186"/>
        <v>oad01</v>
      </c>
      <c r="AE268" s="10" t="str">
        <f t="shared" si="180"/>
        <v>Environmental Services / Environmental Services Admin</v>
      </c>
      <c r="AG268" s="10" t="str">
        <f t="shared" si="188"/>
        <v>21704/1444</v>
      </c>
      <c r="AI268" s="10" t="str">
        <f t="shared" si="181"/>
        <v>14suse</v>
      </c>
      <c r="AJ268" s="15" t="str">
        <f>"LYRECO BLUE FOOLSCAP SPRING FILES 300GSM 32MM CAPACITY - BOX OF 25"</f>
        <v>LYRECO BLUE FOOLSCAP SPRING FILES 300GSM 32MM CAPACITY - BOX OF 25</v>
      </c>
      <c r="AK268" s="10" t="str">
        <f t="shared" si="182"/>
        <v>Revenue</v>
      </c>
      <c r="AL268" s="10" t="str">
        <f>""</f>
        <v/>
      </c>
      <c r="AM268" s="10" t="str">
        <f>""</f>
        <v/>
      </c>
      <c r="AN268" s="10" t="str">
        <f>""</f>
        <v/>
      </c>
      <c r="AO268" s="10" t="str">
        <f>""</f>
        <v/>
      </c>
    </row>
    <row r="269" spans="1:41" s="10" customFormat="1" ht="409.6">
      <c r="A269" s="9"/>
      <c r="B269" s="9"/>
      <c r="C269" s="9"/>
      <c r="D269" s="10" t="str">
        <f>"28834"</f>
        <v>28834</v>
      </c>
      <c r="E269" s="11" t="str">
        <f>""</f>
        <v/>
      </c>
      <c r="F269" s="11" t="str">
        <f t="shared" si="160"/>
        <v>372418</v>
      </c>
      <c r="G269" s="11" t="str">
        <f t="shared" si="161"/>
        <v>2017toJAN</v>
      </c>
      <c r="H269" s="11" t="str">
        <f t="shared" si="162"/>
        <v>CRSP06B</v>
      </c>
      <c r="I269" s="11" t="str">
        <f t="shared" si="163"/>
        <v>34</v>
      </c>
      <c r="J269" s="11" t="str">
        <f t="shared" si="164"/>
        <v>Creditor</v>
      </c>
      <c r="K269" s="11" t="str">
        <f t="shared" si="172"/>
        <v>CS000551</v>
      </c>
      <c r="L269" s="10" t="str">
        <f t="shared" si="173"/>
        <v>Lyreco UK Ltd</v>
      </c>
      <c r="M269" s="12" t="str">
        <f t="shared" si="174"/>
        <v>25/01/2017 00:00:00</v>
      </c>
      <c r="N269" s="12">
        <v>42760</v>
      </c>
      <c r="O269" s="10" t="str">
        <f t="shared" si="175"/>
        <v>C008069</v>
      </c>
      <c r="P269" s="13">
        <v>3.8</v>
      </c>
      <c r="Q269" s="11" t="str">
        <f>"3.8000"</f>
        <v>3.8000</v>
      </c>
      <c r="R269" s="10" t="str">
        <f t="shared" si="176"/>
        <v>C0004552</v>
      </c>
      <c r="S269" s="14" t="str">
        <f t="shared" si="177"/>
        <v>2129.8300</v>
      </c>
      <c r="T269" s="10">
        <v>21704</v>
      </c>
      <c r="U269" s="10">
        <v>1444</v>
      </c>
      <c r="V269" s="10" t="str">
        <f t="shared" si="178"/>
        <v>Printing Stationery &amp; Off Supp</v>
      </c>
      <c r="W269" s="10" t="str">
        <f t="shared" si="179"/>
        <v>Supplies and Services</v>
      </c>
      <c r="X269" s="10" t="str">
        <f>VLOOKUP(U269,'[1]Account code lookup'!A:B,2,0)</f>
        <v>Stationery</v>
      </c>
      <c r="Z269" s="10" t="str">
        <f t="shared" si="183"/>
        <v>Community Services</v>
      </c>
      <c r="AA269" s="10" t="str">
        <f t="shared" si="184"/>
        <v>Operations and Delivery</v>
      </c>
      <c r="AB269" s="10" t="str">
        <f t="shared" si="185"/>
        <v>5oad</v>
      </c>
      <c r="AD269" s="10" t="str">
        <f t="shared" si="186"/>
        <v>oad01</v>
      </c>
      <c r="AE269" s="10" t="str">
        <f t="shared" si="180"/>
        <v>Environmental Services / Environmental Services Admin</v>
      </c>
      <c r="AG269" s="10" t="str">
        <f t="shared" si="188"/>
        <v>21704/1444</v>
      </c>
      <c r="AI269" s="10" t="str">
        <f t="shared" si="181"/>
        <v>14suse</v>
      </c>
      <c r="AJ269" s="15" t="str">
        <f>"LYRECO BUDGET BLACK A4 LEVER ARCH FILE 75MM"</f>
        <v>LYRECO BUDGET BLACK A4 LEVER ARCH FILE 75MM</v>
      </c>
      <c r="AK269" s="10" t="str">
        <f t="shared" si="182"/>
        <v>Revenue</v>
      </c>
      <c r="AL269" s="10" t="str">
        <f>""</f>
        <v/>
      </c>
      <c r="AM269" s="10" t="str">
        <f>""</f>
        <v/>
      </c>
      <c r="AN269" s="10" t="str">
        <f>""</f>
        <v/>
      </c>
      <c r="AO269" s="10" t="str">
        <f>""</f>
        <v/>
      </c>
    </row>
    <row r="270" spans="1:41" s="10" customFormat="1" ht="409.6">
      <c r="A270" s="9"/>
      <c r="B270" s="9"/>
      <c r="C270" s="9"/>
      <c r="D270" s="10" t="str">
        <f>"28835"</f>
        <v>28835</v>
      </c>
      <c r="E270" s="11" t="str">
        <f>""</f>
        <v/>
      </c>
      <c r="F270" s="11" t="str">
        <f t="shared" si="160"/>
        <v>372418</v>
      </c>
      <c r="G270" s="11" t="str">
        <f t="shared" si="161"/>
        <v>2017toJAN</v>
      </c>
      <c r="H270" s="11" t="str">
        <f t="shared" si="162"/>
        <v>CRSP06B</v>
      </c>
      <c r="I270" s="11" t="str">
        <f t="shared" si="163"/>
        <v>34</v>
      </c>
      <c r="J270" s="11" t="str">
        <f t="shared" si="164"/>
        <v>Creditor</v>
      </c>
      <c r="K270" s="11" t="str">
        <f t="shared" si="172"/>
        <v>CS000551</v>
      </c>
      <c r="L270" s="10" t="str">
        <f t="shared" si="173"/>
        <v>Lyreco UK Ltd</v>
      </c>
      <c r="M270" s="12" t="str">
        <f t="shared" si="174"/>
        <v>25/01/2017 00:00:00</v>
      </c>
      <c r="N270" s="12">
        <v>42760</v>
      </c>
      <c r="O270" s="10" t="str">
        <f t="shared" si="175"/>
        <v>C008069</v>
      </c>
      <c r="P270" s="13">
        <v>2.52</v>
      </c>
      <c r="Q270" s="11" t="str">
        <f>"2.5200"</f>
        <v>2.5200</v>
      </c>
      <c r="R270" s="10" t="str">
        <f t="shared" si="176"/>
        <v>C0004552</v>
      </c>
      <c r="S270" s="14" t="str">
        <f t="shared" si="177"/>
        <v>2129.8300</v>
      </c>
      <c r="T270" s="10">
        <v>21704</v>
      </c>
      <c r="U270" s="10">
        <v>1444</v>
      </c>
      <c r="V270" s="10" t="str">
        <f t="shared" si="178"/>
        <v>Printing Stationery &amp; Off Supp</v>
      </c>
      <c r="W270" s="10" t="str">
        <f t="shared" si="179"/>
        <v>Supplies and Services</v>
      </c>
      <c r="X270" s="10" t="str">
        <f>VLOOKUP(U270,'[1]Account code lookup'!A:B,2,0)</f>
        <v>Stationery</v>
      </c>
      <c r="Z270" s="10" t="str">
        <f t="shared" si="183"/>
        <v>Community Services</v>
      </c>
      <c r="AA270" s="10" t="str">
        <f t="shared" si="184"/>
        <v>Operations and Delivery</v>
      </c>
      <c r="AB270" s="10" t="str">
        <f t="shared" si="185"/>
        <v>5oad</v>
      </c>
      <c r="AD270" s="10" t="str">
        <f t="shared" si="186"/>
        <v>oad01</v>
      </c>
      <c r="AE270" s="10" t="str">
        <f t="shared" si="180"/>
        <v>Environmental Services / Environmental Services Admin</v>
      </c>
      <c r="AG270" s="10" t="str">
        <f t="shared" si="188"/>
        <v>21704/1444</v>
      </c>
      <c r="AI270" s="10" t="str">
        <f t="shared" si="181"/>
        <v>14suse</v>
      </c>
      <c r="AJ270" s="15" t="str">
        <f>"LYRECO CORRECTION TAPE ROLLER - 4.2MM X 12M FILM"</f>
        <v>LYRECO CORRECTION TAPE ROLLER - 4.2MM X 12M FILM</v>
      </c>
      <c r="AK270" s="10" t="str">
        <f t="shared" si="182"/>
        <v>Revenue</v>
      </c>
      <c r="AL270" s="10" t="str">
        <f>""</f>
        <v/>
      </c>
      <c r="AM270" s="10" t="str">
        <f>""</f>
        <v/>
      </c>
      <c r="AN270" s="10" t="str">
        <f>""</f>
        <v/>
      </c>
      <c r="AO270" s="10" t="str">
        <f>""</f>
        <v/>
      </c>
    </row>
    <row r="271" spans="1:41" s="10" customFormat="1" ht="409.6">
      <c r="A271" s="9"/>
      <c r="B271" s="9"/>
      <c r="C271" s="9"/>
      <c r="D271" s="10" t="str">
        <f>"28836"</f>
        <v>28836</v>
      </c>
      <c r="E271" s="11" t="str">
        <f>""</f>
        <v/>
      </c>
      <c r="F271" s="11" t="str">
        <f t="shared" si="160"/>
        <v>372418</v>
      </c>
      <c r="G271" s="11" t="str">
        <f t="shared" si="161"/>
        <v>2017toJAN</v>
      </c>
      <c r="H271" s="11" t="str">
        <f t="shared" si="162"/>
        <v>CRSP06B</v>
      </c>
      <c r="I271" s="11" t="str">
        <f t="shared" si="163"/>
        <v>34</v>
      </c>
      <c r="J271" s="11" t="str">
        <f t="shared" si="164"/>
        <v>Creditor</v>
      </c>
      <c r="K271" s="11" t="str">
        <f t="shared" si="172"/>
        <v>CS000551</v>
      </c>
      <c r="L271" s="10" t="str">
        <f t="shared" si="173"/>
        <v>Lyreco UK Ltd</v>
      </c>
      <c r="M271" s="12" t="str">
        <f t="shared" si="174"/>
        <v>25/01/2017 00:00:00</v>
      </c>
      <c r="N271" s="12">
        <v>42760</v>
      </c>
      <c r="O271" s="10" t="str">
        <f t="shared" si="175"/>
        <v>C008069</v>
      </c>
      <c r="P271" s="13">
        <v>4</v>
      </c>
      <c r="Q271" s="11" t="str">
        <f>"4.0000"</f>
        <v>4.0000</v>
      </c>
      <c r="R271" s="10" t="str">
        <f t="shared" si="176"/>
        <v>C0004552</v>
      </c>
      <c r="S271" s="14" t="str">
        <f t="shared" si="177"/>
        <v>2129.8300</v>
      </c>
      <c r="T271" s="10">
        <v>21704</v>
      </c>
      <c r="U271" s="10">
        <v>1444</v>
      </c>
      <c r="V271" s="10" t="str">
        <f t="shared" si="178"/>
        <v>Printing Stationery &amp; Off Supp</v>
      </c>
      <c r="W271" s="10" t="str">
        <f t="shared" si="179"/>
        <v>Supplies and Services</v>
      </c>
      <c r="X271" s="10" t="str">
        <f>VLOOKUP(U271,'[1]Account code lookup'!A:B,2,0)</f>
        <v>Stationery</v>
      </c>
      <c r="Z271" s="10" t="str">
        <f t="shared" si="183"/>
        <v>Community Services</v>
      </c>
      <c r="AA271" s="10" t="str">
        <f t="shared" si="184"/>
        <v>Operations and Delivery</v>
      </c>
      <c r="AB271" s="10" t="str">
        <f t="shared" si="185"/>
        <v>5oad</v>
      </c>
      <c r="AD271" s="10" t="str">
        <f t="shared" si="186"/>
        <v>oad01</v>
      </c>
      <c r="AE271" s="10" t="str">
        <f t="shared" si="180"/>
        <v>Environmental Services / Environmental Services Admin</v>
      </c>
      <c r="AG271" s="10" t="str">
        <f t="shared" si="188"/>
        <v>21704/1444</v>
      </c>
      <c r="AI271" s="10" t="str">
        <f t="shared" si="181"/>
        <v>14suse</v>
      </c>
      <c r="AJ271" s="15" t="str">
        <f>"LYRECO MULTI-PURPOSE WIPES - 100 WIPES"</f>
        <v>LYRECO MULTI-PURPOSE WIPES - 100 WIPES</v>
      </c>
      <c r="AK271" s="10" t="str">
        <f t="shared" si="182"/>
        <v>Revenue</v>
      </c>
      <c r="AL271" s="10" t="str">
        <f>""</f>
        <v/>
      </c>
      <c r="AM271" s="10" t="str">
        <f>""</f>
        <v/>
      </c>
      <c r="AN271" s="10" t="str">
        <f>""</f>
        <v/>
      </c>
      <c r="AO271" s="10" t="str">
        <f>""</f>
        <v/>
      </c>
    </row>
    <row r="272" spans="1:41" s="10" customFormat="1" ht="409.6">
      <c r="A272" s="9"/>
      <c r="B272" s="9"/>
      <c r="C272" s="9"/>
      <c r="D272" s="10" t="str">
        <f>"28837"</f>
        <v>28837</v>
      </c>
      <c r="E272" s="11" t="str">
        <f>""</f>
        <v/>
      </c>
      <c r="F272" s="11" t="str">
        <f t="shared" si="160"/>
        <v>372418</v>
      </c>
      <c r="G272" s="11" t="str">
        <f t="shared" si="161"/>
        <v>2017toJAN</v>
      </c>
      <c r="H272" s="11" t="str">
        <f t="shared" si="162"/>
        <v>CRSP06B</v>
      </c>
      <c r="I272" s="11" t="str">
        <f t="shared" si="163"/>
        <v>34</v>
      </c>
      <c r="J272" s="11" t="str">
        <f t="shared" si="164"/>
        <v>Creditor</v>
      </c>
      <c r="K272" s="11" t="str">
        <f t="shared" si="172"/>
        <v>CS000551</v>
      </c>
      <c r="L272" s="10" t="str">
        <f t="shared" si="173"/>
        <v>Lyreco UK Ltd</v>
      </c>
      <c r="M272" s="12" t="str">
        <f t="shared" si="174"/>
        <v>25/01/2017 00:00:00</v>
      </c>
      <c r="N272" s="12">
        <v>42760</v>
      </c>
      <c r="O272" s="10" t="str">
        <f t="shared" si="175"/>
        <v>C008069</v>
      </c>
      <c r="P272" s="13">
        <v>0.96</v>
      </c>
      <c r="Q272" s="11" t="str">
        <f>"0.9600"</f>
        <v>0.9600</v>
      </c>
      <c r="R272" s="10" t="str">
        <f t="shared" si="176"/>
        <v>C0004552</v>
      </c>
      <c r="S272" s="14" t="str">
        <f t="shared" si="177"/>
        <v>2129.8300</v>
      </c>
      <c r="T272" s="10">
        <v>21704</v>
      </c>
      <c r="U272" s="10">
        <v>1444</v>
      </c>
      <c r="V272" s="10" t="str">
        <f t="shared" si="178"/>
        <v>Printing Stationery &amp; Off Supp</v>
      </c>
      <c r="W272" s="10" t="str">
        <f t="shared" si="179"/>
        <v>Supplies and Services</v>
      </c>
      <c r="X272" s="10" t="str">
        <f>VLOOKUP(U272,'[1]Account code lookup'!A:B,2,0)</f>
        <v>Stationery</v>
      </c>
      <c r="Z272" s="10" t="str">
        <f t="shared" si="183"/>
        <v>Community Services</v>
      </c>
      <c r="AA272" s="10" t="str">
        <f t="shared" si="184"/>
        <v>Operations and Delivery</v>
      </c>
      <c r="AB272" s="10" t="str">
        <f t="shared" si="185"/>
        <v>5oad</v>
      </c>
      <c r="AD272" s="10" t="str">
        <f t="shared" si="186"/>
        <v>oad01</v>
      </c>
      <c r="AE272" s="10" t="str">
        <f t="shared" si="180"/>
        <v>Environmental Services / Environmental Services Admin</v>
      </c>
      <c r="AG272" s="10" t="str">
        <f t="shared" si="188"/>
        <v>21704/1444</v>
      </c>
      <c r="AI272" s="10" t="str">
        <f t="shared" si="181"/>
        <v>14suse</v>
      </c>
      <c r="AJ272" s="15" t="str">
        <f>"LYRECO RETRACTABLE GEL INK PEN BLACK - BOX OF 12"</f>
        <v>LYRECO RETRACTABLE GEL INK PEN BLACK - BOX OF 12</v>
      </c>
      <c r="AK272" s="10" t="str">
        <f t="shared" si="182"/>
        <v>Revenue</v>
      </c>
      <c r="AL272" s="10" t="str">
        <f>""</f>
        <v/>
      </c>
      <c r="AM272" s="10" t="str">
        <f>""</f>
        <v/>
      </c>
      <c r="AN272" s="10" t="str">
        <f>""</f>
        <v/>
      </c>
      <c r="AO272" s="10" t="str">
        <f>""</f>
        <v/>
      </c>
    </row>
    <row r="273" spans="1:41" s="10" customFormat="1" ht="409.6">
      <c r="A273" s="9"/>
      <c r="B273" s="9"/>
      <c r="C273" s="9"/>
      <c r="D273" s="10" t="str">
        <f>"28838"</f>
        <v>28838</v>
      </c>
      <c r="E273" s="11" t="str">
        <f>""</f>
        <v/>
      </c>
      <c r="F273" s="11" t="str">
        <f t="shared" si="160"/>
        <v>372418</v>
      </c>
      <c r="G273" s="11" t="str">
        <f t="shared" si="161"/>
        <v>2017toJAN</v>
      </c>
      <c r="H273" s="11" t="str">
        <f t="shared" si="162"/>
        <v>CRSP06B</v>
      </c>
      <c r="I273" s="11" t="str">
        <f t="shared" si="163"/>
        <v>34</v>
      </c>
      <c r="J273" s="11" t="str">
        <f t="shared" si="164"/>
        <v>Creditor</v>
      </c>
      <c r="K273" s="11" t="str">
        <f t="shared" si="172"/>
        <v>CS000551</v>
      </c>
      <c r="L273" s="10" t="str">
        <f t="shared" si="173"/>
        <v>Lyreco UK Ltd</v>
      </c>
      <c r="M273" s="12" t="str">
        <f t="shared" si="174"/>
        <v>25/01/2017 00:00:00</v>
      </c>
      <c r="N273" s="12">
        <v>42760</v>
      </c>
      <c r="O273" s="10" t="str">
        <f t="shared" si="175"/>
        <v>C008069</v>
      </c>
      <c r="P273" s="13">
        <v>4.72</v>
      </c>
      <c r="Q273" s="11" t="str">
        <f>"4.7200"</f>
        <v>4.7200</v>
      </c>
      <c r="R273" s="10" t="str">
        <f t="shared" si="176"/>
        <v>C0004552</v>
      </c>
      <c r="S273" s="14" t="str">
        <f t="shared" si="177"/>
        <v>2129.8300</v>
      </c>
      <c r="T273" s="10">
        <v>21704</v>
      </c>
      <c r="U273" s="10">
        <v>1444</v>
      </c>
      <c r="V273" s="10" t="str">
        <f t="shared" si="178"/>
        <v>Printing Stationery &amp; Off Supp</v>
      </c>
      <c r="W273" s="10" t="str">
        <f t="shared" si="179"/>
        <v>Supplies and Services</v>
      </c>
      <c r="X273" s="10" t="str">
        <f>VLOOKUP(U273,'[1]Account code lookup'!A:B,2,0)</f>
        <v>Stationery</v>
      </c>
      <c r="Z273" s="10" t="str">
        <f t="shared" si="183"/>
        <v>Community Services</v>
      </c>
      <c r="AA273" s="10" t="str">
        <f t="shared" si="184"/>
        <v>Operations and Delivery</v>
      </c>
      <c r="AB273" s="10" t="str">
        <f t="shared" si="185"/>
        <v>5oad</v>
      </c>
      <c r="AD273" s="10" t="str">
        <f t="shared" si="186"/>
        <v>oad01</v>
      </c>
      <c r="AE273" s="10" t="str">
        <f t="shared" si="180"/>
        <v>Environmental Services / Environmental Services Admin</v>
      </c>
      <c r="AG273" s="10" t="str">
        <f t="shared" si="188"/>
        <v>21704/1444</v>
      </c>
      <c r="AI273" s="10" t="str">
        <f t="shared" si="181"/>
        <v>14suse</v>
      </c>
      <c r="AJ273" s="15" t="str">
        <f>"LYRECO WHITE DL PEEL &amp; SEAL PLAIN ENVELOPES 100GSM - BOX OF 500"</f>
        <v>LYRECO WHITE DL PEEL &amp; SEAL PLAIN ENVELOPES 100GSM - BOX OF 500</v>
      </c>
      <c r="AK273" s="10" t="str">
        <f t="shared" si="182"/>
        <v>Revenue</v>
      </c>
      <c r="AL273" s="10" t="str">
        <f>""</f>
        <v/>
      </c>
      <c r="AM273" s="10" t="str">
        <f>""</f>
        <v/>
      </c>
      <c r="AN273" s="10" t="str">
        <f>""</f>
        <v/>
      </c>
      <c r="AO273" s="10" t="str">
        <f>""</f>
        <v/>
      </c>
    </row>
    <row r="274" spans="1:41" s="10" customFormat="1" ht="409.6">
      <c r="A274" s="9"/>
      <c r="B274" s="9"/>
      <c r="C274" s="9"/>
      <c r="D274" s="10" t="str">
        <f>"28839"</f>
        <v>28839</v>
      </c>
      <c r="E274" s="11" t="str">
        <f>""</f>
        <v/>
      </c>
      <c r="F274" s="11" t="str">
        <f t="shared" si="160"/>
        <v>372418</v>
      </c>
      <c r="G274" s="11" t="str">
        <f t="shared" si="161"/>
        <v>2017toJAN</v>
      </c>
      <c r="H274" s="11" t="str">
        <f t="shared" si="162"/>
        <v>CRSP06B</v>
      </c>
      <c r="I274" s="11" t="str">
        <f t="shared" si="163"/>
        <v>34</v>
      </c>
      <c r="J274" s="11" t="str">
        <f t="shared" si="164"/>
        <v>Creditor</v>
      </c>
      <c r="K274" s="11" t="str">
        <f t="shared" si="172"/>
        <v>CS000551</v>
      </c>
      <c r="L274" s="10" t="str">
        <f t="shared" si="173"/>
        <v>Lyreco UK Ltd</v>
      </c>
      <c r="M274" s="12" t="str">
        <f t="shared" si="174"/>
        <v>25/01/2017 00:00:00</v>
      </c>
      <c r="N274" s="12">
        <v>42760</v>
      </c>
      <c r="O274" s="10" t="str">
        <f t="shared" si="175"/>
        <v>C008069</v>
      </c>
      <c r="P274" s="13">
        <v>70.92</v>
      </c>
      <c r="Q274" s="11" t="str">
        <f>"70.9200"</f>
        <v>70.9200</v>
      </c>
      <c r="R274" s="10" t="str">
        <f t="shared" si="176"/>
        <v>C0004552</v>
      </c>
      <c r="S274" s="14" t="str">
        <f t="shared" si="177"/>
        <v>2129.8300</v>
      </c>
      <c r="T274" s="10">
        <v>21704</v>
      </c>
      <c r="U274" s="10">
        <v>1444</v>
      </c>
      <c r="V274" s="10" t="str">
        <f t="shared" si="178"/>
        <v>Printing Stationery &amp; Off Supp</v>
      </c>
      <c r="W274" s="10" t="str">
        <f t="shared" si="179"/>
        <v>Supplies and Services</v>
      </c>
      <c r="X274" s="10" t="str">
        <f>VLOOKUP(U274,'[1]Account code lookup'!A:B,2,0)</f>
        <v>Stationery</v>
      </c>
      <c r="Z274" s="10" t="str">
        <f t="shared" si="183"/>
        <v>Community Services</v>
      </c>
      <c r="AA274" s="10" t="str">
        <f t="shared" si="184"/>
        <v>Operations and Delivery</v>
      </c>
      <c r="AB274" s="10" t="str">
        <f t="shared" si="185"/>
        <v>5oad</v>
      </c>
      <c r="AD274" s="10" t="str">
        <f t="shared" si="186"/>
        <v>oad01</v>
      </c>
      <c r="AE274" s="10" t="str">
        <f t="shared" si="180"/>
        <v>Environmental Services / Environmental Services Admin</v>
      </c>
      <c r="AG274" s="10" t="str">
        <f t="shared" si="188"/>
        <v>21704/1444</v>
      </c>
      <c r="AI274" s="10" t="str">
        <f t="shared" si="181"/>
        <v>14suse</v>
      </c>
      <c r="AJ274" s="15" t="str">
        <f>"PUKKA POCKET NOTEBOOK 130 X 85 MM RULED SILVER / BLACK - PACK OF 6"</f>
        <v>PUKKA POCKET NOTEBOOK 130 X 85 MM RULED SILVER / BLACK - PACK OF 6</v>
      </c>
      <c r="AK274" s="10" t="str">
        <f t="shared" si="182"/>
        <v>Revenue</v>
      </c>
      <c r="AL274" s="10" t="str">
        <f>""</f>
        <v/>
      </c>
      <c r="AM274" s="10" t="str">
        <f>""</f>
        <v/>
      </c>
      <c r="AN274" s="10" t="str">
        <f>""</f>
        <v/>
      </c>
      <c r="AO274" s="10" t="str">
        <f>""</f>
        <v/>
      </c>
    </row>
    <row r="275" spans="1:41" s="10" customFormat="1" ht="409.6">
      <c r="A275" s="9"/>
      <c r="B275" s="9"/>
      <c r="C275" s="9"/>
      <c r="D275" s="10" t="str">
        <f>"29108"</f>
        <v>29108</v>
      </c>
      <c r="E275" s="11" t="str">
        <f>""</f>
        <v/>
      </c>
      <c r="F275" s="11" t="str">
        <f t="shared" si="160"/>
        <v>372418</v>
      </c>
      <c r="G275" s="11" t="str">
        <f t="shared" si="161"/>
        <v>2017toJAN</v>
      </c>
      <c r="H275" s="11" t="str">
        <f t="shared" si="162"/>
        <v>CRSP06B</v>
      </c>
      <c r="I275" s="11" t="str">
        <f t="shared" si="163"/>
        <v>34</v>
      </c>
      <c r="J275" s="11" t="str">
        <f t="shared" si="164"/>
        <v>Creditor</v>
      </c>
      <c r="K275" s="11" t="str">
        <f t="shared" si="172"/>
        <v>CS000551</v>
      </c>
      <c r="L275" s="10" t="str">
        <f t="shared" si="173"/>
        <v>Lyreco UK Ltd</v>
      </c>
      <c r="M275" s="12" t="str">
        <f t="shared" si="174"/>
        <v>25/01/2017 00:00:00</v>
      </c>
      <c r="N275" s="12">
        <v>42760</v>
      </c>
      <c r="O275" s="10" t="str">
        <f t="shared" si="175"/>
        <v>C008069</v>
      </c>
      <c r="P275" s="13">
        <v>4</v>
      </c>
      <c r="Q275" s="11" t="str">
        <f>"4.0000"</f>
        <v>4.0000</v>
      </c>
      <c r="R275" s="10" t="str">
        <f t="shared" si="176"/>
        <v>C0004552</v>
      </c>
      <c r="S275" s="14" t="str">
        <f t="shared" si="177"/>
        <v>2129.8300</v>
      </c>
      <c r="T275" s="10">
        <v>21704</v>
      </c>
      <c r="U275" s="10">
        <v>1444</v>
      </c>
      <c r="V275" s="10" t="str">
        <f t="shared" si="178"/>
        <v>Printing Stationery &amp; Off Supp</v>
      </c>
      <c r="W275" s="10" t="str">
        <f t="shared" si="179"/>
        <v>Supplies and Services</v>
      </c>
      <c r="X275" s="10" t="str">
        <f>VLOOKUP(U275,'[1]Account code lookup'!A:B,2,0)</f>
        <v>Stationery</v>
      </c>
      <c r="Z275" s="10" t="str">
        <f t="shared" si="183"/>
        <v>Community Services</v>
      </c>
      <c r="AA275" s="10" t="str">
        <f t="shared" si="184"/>
        <v>Operations and Delivery</v>
      </c>
      <c r="AB275" s="10" t="str">
        <f t="shared" si="185"/>
        <v>5oad</v>
      </c>
      <c r="AD275" s="10" t="str">
        <f t="shared" si="186"/>
        <v>oad01</v>
      </c>
      <c r="AE275" s="10" t="str">
        <f t="shared" si="180"/>
        <v>Environmental Services / Environmental Services Admin</v>
      </c>
      <c r="AG275" s="10" t="str">
        <f t="shared" si="188"/>
        <v>21704/1444</v>
      </c>
      <c r="AI275" s="10" t="str">
        <f t="shared" si="181"/>
        <v>14suse</v>
      </c>
      <c r="AJ275" s="15" t="str">
        <f>"TIPP-EX RAPID CORRECTION FLUID BOTTLE 20ML - PACK OF 10"</f>
        <v>TIPP-EX RAPID CORRECTION FLUID BOTTLE 20ML - PACK OF 10</v>
      </c>
      <c r="AK275" s="10" t="str">
        <f t="shared" si="182"/>
        <v>Revenue</v>
      </c>
      <c r="AL275" s="10" t="str">
        <f>""</f>
        <v/>
      </c>
      <c r="AM275" s="10" t="str">
        <f>""</f>
        <v/>
      </c>
      <c r="AN275" s="10" t="str">
        <f>""</f>
        <v/>
      </c>
      <c r="AO275" s="10" t="str">
        <f>""</f>
        <v/>
      </c>
    </row>
    <row r="276" spans="1:41" s="10" customFormat="1" ht="409.6">
      <c r="A276" s="9"/>
      <c r="B276" s="9"/>
      <c r="C276" s="9"/>
      <c r="D276" s="10" t="str">
        <f>"29109"</f>
        <v>29109</v>
      </c>
      <c r="E276" s="11" t="str">
        <f>""</f>
        <v/>
      </c>
      <c r="F276" s="11" t="str">
        <f t="shared" si="160"/>
        <v>372418</v>
      </c>
      <c r="G276" s="11" t="str">
        <f t="shared" si="161"/>
        <v>2017toJAN</v>
      </c>
      <c r="H276" s="11" t="str">
        <f t="shared" si="162"/>
        <v>CRSP06B</v>
      </c>
      <c r="I276" s="11" t="str">
        <f t="shared" si="163"/>
        <v>34</v>
      </c>
      <c r="J276" s="11" t="str">
        <f t="shared" si="164"/>
        <v>Creditor</v>
      </c>
      <c r="K276" s="11" t="str">
        <f t="shared" si="172"/>
        <v>CS000551</v>
      </c>
      <c r="L276" s="10" t="str">
        <f t="shared" si="173"/>
        <v>Lyreco UK Ltd</v>
      </c>
      <c r="M276" s="12" t="str">
        <f t="shared" si="174"/>
        <v>25/01/2017 00:00:00</v>
      </c>
      <c r="N276" s="12">
        <v>42760</v>
      </c>
      <c r="O276" s="10" t="str">
        <f t="shared" si="175"/>
        <v>C008069</v>
      </c>
      <c r="P276" s="13">
        <v>11.14</v>
      </c>
      <c r="Q276" s="11" t="str">
        <f>"11.1400"</f>
        <v>11.1400</v>
      </c>
      <c r="R276" s="10" t="str">
        <f t="shared" si="176"/>
        <v>C0004552</v>
      </c>
      <c r="S276" s="14" t="str">
        <f t="shared" si="177"/>
        <v>2129.8300</v>
      </c>
      <c r="T276" s="10">
        <v>21704</v>
      </c>
      <c r="U276" s="10">
        <v>1444</v>
      </c>
      <c r="V276" s="10" t="str">
        <f t="shared" si="178"/>
        <v>Printing Stationery &amp; Off Supp</v>
      </c>
      <c r="W276" s="10" t="str">
        <f t="shared" si="179"/>
        <v>Supplies and Services</v>
      </c>
      <c r="X276" s="10" t="str">
        <f>VLOOKUP(U276,'[1]Account code lookup'!A:B,2,0)</f>
        <v>Stationery</v>
      </c>
      <c r="Z276" s="10" t="str">
        <f t="shared" si="183"/>
        <v>Community Services</v>
      </c>
      <c r="AA276" s="10" t="str">
        <f t="shared" si="184"/>
        <v>Operations and Delivery</v>
      </c>
      <c r="AB276" s="10" t="str">
        <f t="shared" si="185"/>
        <v>5oad</v>
      </c>
      <c r="AD276" s="10" t="str">
        <f t="shared" si="186"/>
        <v>oad01</v>
      </c>
      <c r="AE276" s="10" t="str">
        <f t="shared" si="180"/>
        <v>Environmental Services / Environmental Services Admin</v>
      </c>
      <c r="AG276" s="10" t="str">
        <f t="shared" si="188"/>
        <v>21704/1444</v>
      </c>
      <c r="AI276" s="10" t="str">
        <f t="shared" si="181"/>
        <v>14suse</v>
      </c>
      <c r="AJ276" s="15" t="str">
        <f>"TRODAT 4817 SELF INKING REFILL PAD BLACK - PACK OF 2"</f>
        <v>TRODAT 4817 SELF INKING REFILL PAD BLACK - PACK OF 2</v>
      </c>
      <c r="AK276" s="10" t="str">
        <f t="shared" si="182"/>
        <v>Revenue</v>
      </c>
      <c r="AL276" s="10" t="str">
        <f>""</f>
        <v/>
      </c>
      <c r="AM276" s="10" t="str">
        <f>""</f>
        <v/>
      </c>
      <c r="AN276" s="10" t="str">
        <f>""</f>
        <v/>
      </c>
      <c r="AO276" s="10" t="str">
        <f>""</f>
        <v/>
      </c>
    </row>
    <row r="277" spans="1:41" s="10" customFormat="1" ht="409.6">
      <c r="A277" s="9"/>
      <c r="B277" s="9"/>
      <c r="C277" s="9"/>
      <c r="D277" s="10" t="str">
        <f>"29110"</f>
        <v>29110</v>
      </c>
      <c r="E277" s="11" t="str">
        <f>""</f>
        <v/>
      </c>
      <c r="F277" s="11" t="str">
        <f t="shared" si="160"/>
        <v>372418</v>
      </c>
      <c r="G277" s="11" t="str">
        <f t="shared" si="161"/>
        <v>2017toJAN</v>
      </c>
      <c r="H277" s="11" t="str">
        <f t="shared" si="162"/>
        <v>CRSP06B</v>
      </c>
      <c r="I277" s="11" t="str">
        <f t="shared" si="163"/>
        <v>34</v>
      </c>
      <c r="J277" s="11" t="str">
        <f t="shared" si="164"/>
        <v>Creditor</v>
      </c>
      <c r="K277" s="11" t="str">
        <f t="shared" si="172"/>
        <v>CS000551</v>
      </c>
      <c r="L277" s="10" t="str">
        <f t="shared" si="173"/>
        <v>Lyreco UK Ltd</v>
      </c>
      <c r="M277" s="12" t="str">
        <f t="shared" si="174"/>
        <v>25/01/2017 00:00:00</v>
      </c>
      <c r="N277" s="12">
        <v>42760</v>
      </c>
      <c r="O277" s="10" t="str">
        <f t="shared" si="175"/>
        <v>C008069</v>
      </c>
      <c r="P277" s="13">
        <v>13.18</v>
      </c>
      <c r="Q277" s="11" t="str">
        <f>"13.1800"</f>
        <v>13.1800</v>
      </c>
      <c r="R277" s="10" t="str">
        <f t="shared" si="176"/>
        <v>C0004552</v>
      </c>
      <c r="S277" s="14" t="str">
        <f t="shared" si="177"/>
        <v>2129.8300</v>
      </c>
      <c r="T277" s="10">
        <v>21704</v>
      </c>
      <c r="U277" s="10">
        <v>1444</v>
      </c>
      <c r="V277" s="10" t="str">
        <f t="shared" si="178"/>
        <v>Printing Stationery &amp; Off Supp</v>
      </c>
      <c r="W277" s="10" t="str">
        <f t="shared" si="179"/>
        <v>Supplies and Services</v>
      </c>
      <c r="X277" s="10" t="str">
        <f>VLOOKUP(U277,'[1]Account code lookup'!A:B,2,0)</f>
        <v>Stationery</v>
      </c>
      <c r="Z277" s="10" t="str">
        <f t="shared" si="183"/>
        <v>Community Services</v>
      </c>
      <c r="AA277" s="10" t="str">
        <f t="shared" si="184"/>
        <v>Operations and Delivery</v>
      </c>
      <c r="AB277" s="10" t="str">
        <f t="shared" si="185"/>
        <v>5oad</v>
      </c>
      <c r="AD277" s="10" t="str">
        <f t="shared" si="186"/>
        <v>oad01</v>
      </c>
      <c r="AE277" s="10" t="str">
        <f t="shared" si="180"/>
        <v>Environmental Services / Environmental Services Admin</v>
      </c>
      <c r="AG277" s="10" t="str">
        <f t="shared" si="188"/>
        <v>21704/1444</v>
      </c>
      <c r="AI277" s="10" t="str">
        <f t="shared" si="181"/>
        <v>14suse</v>
      </c>
      <c r="AJ277" s="15" t="str">
        <f>"TRODAT 4926 SELF INKING REFILL PAD BLACK - PACK OF 2"</f>
        <v>TRODAT 4926 SELF INKING REFILL PAD BLACK - PACK OF 2</v>
      </c>
      <c r="AK277" s="10" t="str">
        <f t="shared" si="182"/>
        <v>Revenue</v>
      </c>
      <c r="AL277" s="10" t="str">
        <f>""</f>
        <v/>
      </c>
      <c r="AM277" s="10" t="str">
        <f>""</f>
        <v/>
      </c>
      <c r="AN277" s="10" t="str">
        <f>""</f>
        <v/>
      </c>
      <c r="AO277" s="10" t="str">
        <f>""</f>
        <v/>
      </c>
    </row>
    <row r="278" spans="1:41" s="10" customFormat="1" ht="409.6">
      <c r="A278" s="9"/>
      <c r="B278" s="9"/>
      <c r="C278" s="9"/>
      <c r="D278" s="10" t="str">
        <f>"29111"</f>
        <v>29111</v>
      </c>
      <c r="E278" s="11" t="str">
        <f>""</f>
        <v/>
      </c>
      <c r="F278" s="11" t="str">
        <f t="shared" si="160"/>
        <v>372418</v>
      </c>
      <c r="G278" s="11" t="str">
        <f t="shared" si="161"/>
        <v>2017toJAN</v>
      </c>
      <c r="H278" s="11" t="str">
        <f t="shared" si="162"/>
        <v>CRSP06B</v>
      </c>
      <c r="I278" s="11" t="str">
        <f t="shared" si="163"/>
        <v>34</v>
      </c>
      <c r="J278" s="11" t="str">
        <f t="shared" si="164"/>
        <v>Creditor</v>
      </c>
      <c r="K278" s="11" t="str">
        <f t="shared" si="172"/>
        <v>CS000551</v>
      </c>
      <c r="L278" s="10" t="str">
        <f t="shared" si="173"/>
        <v>Lyreco UK Ltd</v>
      </c>
      <c r="M278" s="12" t="str">
        <f t="shared" si="174"/>
        <v>25/01/2017 00:00:00</v>
      </c>
      <c r="N278" s="12">
        <v>42760</v>
      </c>
      <c r="O278" s="10" t="str">
        <f t="shared" si="175"/>
        <v>C008069</v>
      </c>
      <c r="P278" s="13">
        <v>11.74</v>
      </c>
      <c r="Q278" s="11" t="str">
        <f>"11.7400"</f>
        <v>11.7400</v>
      </c>
      <c r="R278" s="10" t="str">
        <f t="shared" si="176"/>
        <v>C0004552</v>
      </c>
      <c r="S278" s="14" t="str">
        <f t="shared" si="177"/>
        <v>2129.8300</v>
      </c>
      <c r="T278" s="10">
        <v>21704</v>
      </c>
      <c r="U278" s="10">
        <v>1444</v>
      </c>
      <c r="V278" s="10" t="str">
        <f t="shared" si="178"/>
        <v>Printing Stationery &amp; Off Supp</v>
      </c>
      <c r="W278" s="10" t="str">
        <f t="shared" si="179"/>
        <v>Supplies and Services</v>
      </c>
      <c r="X278" s="10" t="str">
        <f>VLOOKUP(U278,'[1]Account code lookup'!A:B,2,0)</f>
        <v>Stationery</v>
      </c>
      <c r="Z278" s="10" t="str">
        <f t="shared" si="183"/>
        <v>Community Services</v>
      </c>
      <c r="AA278" s="10" t="str">
        <f t="shared" si="184"/>
        <v>Operations and Delivery</v>
      </c>
      <c r="AB278" s="10" t="str">
        <f t="shared" si="185"/>
        <v>5oad</v>
      </c>
      <c r="AD278" s="10" t="str">
        <f t="shared" si="186"/>
        <v>oad01</v>
      </c>
      <c r="AE278" s="10" t="str">
        <f t="shared" si="180"/>
        <v>Environmental Services / Environmental Services Admin</v>
      </c>
      <c r="AG278" s="10" t="str">
        <f t="shared" si="188"/>
        <v>21704/1444</v>
      </c>
      <c r="AI278" s="10" t="str">
        <f t="shared" si="181"/>
        <v>14suse</v>
      </c>
      <c r="AJ278" s="15" t="str">
        <f>"TRODAT ECO PRINTY 4750 DATER REFILL PADS BLUE/RED - PACK OF 2"</f>
        <v>TRODAT ECO PRINTY 4750 DATER REFILL PADS BLUE/RED - PACK OF 2</v>
      </c>
      <c r="AK278" s="10" t="str">
        <f t="shared" si="182"/>
        <v>Revenue</v>
      </c>
      <c r="AL278" s="10" t="str">
        <f>""</f>
        <v/>
      </c>
      <c r="AM278" s="10" t="str">
        <f>""</f>
        <v/>
      </c>
      <c r="AN278" s="10" t="str">
        <f>""</f>
        <v/>
      </c>
      <c r="AO278" s="10" t="str">
        <f>""</f>
        <v/>
      </c>
    </row>
    <row r="279" spans="1:41" s="10" customFormat="1" ht="409.6">
      <c r="A279" s="9"/>
      <c r="B279" s="9"/>
      <c r="C279" s="9"/>
      <c r="D279" s="10" t="str">
        <f>"29112"</f>
        <v>29112</v>
      </c>
      <c r="E279" s="11" t="str">
        <f>""</f>
        <v/>
      </c>
      <c r="F279" s="11" t="str">
        <f t="shared" si="160"/>
        <v>372418</v>
      </c>
      <c r="G279" s="11" t="str">
        <f t="shared" si="161"/>
        <v>2017toJAN</v>
      </c>
      <c r="H279" s="11" t="str">
        <f t="shared" si="162"/>
        <v>CRSP06B</v>
      </c>
      <c r="I279" s="11" t="str">
        <f t="shared" si="163"/>
        <v>34</v>
      </c>
      <c r="J279" s="11" t="str">
        <f t="shared" si="164"/>
        <v>Creditor</v>
      </c>
      <c r="K279" s="11" t="str">
        <f t="shared" si="172"/>
        <v>CS000551</v>
      </c>
      <c r="L279" s="10" t="str">
        <f t="shared" si="173"/>
        <v>Lyreco UK Ltd</v>
      </c>
      <c r="M279" s="12" t="str">
        <f t="shared" si="174"/>
        <v>25/01/2017 00:00:00</v>
      </c>
      <c r="N279" s="12">
        <v>42760</v>
      </c>
      <c r="O279" s="10" t="str">
        <f t="shared" si="175"/>
        <v>C008069</v>
      </c>
      <c r="P279" s="13">
        <v>0.62</v>
      </c>
      <c r="Q279" s="11" t="str">
        <f>"0.6200"</f>
        <v>0.6200</v>
      </c>
      <c r="R279" s="10" t="str">
        <f t="shared" si="176"/>
        <v>C0004552</v>
      </c>
      <c r="S279" s="14" t="str">
        <f t="shared" si="177"/>
        <v>2129.8300</v>
      </c>
      <c r="T279" s="10">
        <v>21713</v>
      </c>
      <c r="U279" s="10">
        <v>1444</v>
      </c>
      <c r="V279" s="10" t="str">
        <f t="shared" si="178"/>
        <v>Printing Stationery &amp; Off Supp</v>
      </c>
      <c r="W279" s="10" t="str">
        <f t="shared" si="179"/>
        <v>Supplies and Services</v>
      </c>
      <c r="X279" s="10" t="str">
        <f>VLOOKUP(U279,'[1]Account code lookup'!A:B,2,0)</f>
        <v>Stationery</v>
      </c>
      <c r="Z279" s="10" t="str">
        <f t="shared" ref="Z279:AA283" si="189">"Strategy and Commissioning"</f>
        <v>Strategy and Commissioning</v>
      </c>
      <c r="AA279" s="10" t="str">
        <f t="shared" si="189"/>
        <v>Strategy and Commissioning</v>
      </c>
      <c r="AB279" s="10" t="str">
        <f>"4sac"</f>
        <v>4sac</v>
      </c>
      <c r="AD279" s="10" t="str">
        <f>"sac08"</f>
        <v>sac08</v>
      </c>
      <c r="AE279" s="10" t="str">
        <f t="shared" si="180"/>
        <v>Environmental Services / Environmental Services Admin</v>
      </c>
      <c r="AG279" s="10" t="str">
        <f>"21713/1444"</f>
        <v>21713/1444</v>
      </c>
      <c r="AI279" s="10" t="str">
        <f t="shared" si="181"/>
        <v>14suse</v>
      </c>
      <c r="AJ279" s="15" t="str">
        <f>"3M 683-4AB POST-IT INDEX 12 X 44 MM 4 ASSORTED COLOURS - PACK OF 4"</f>
        <v>3M 683-4AB POST-IT INDEX 12 X 44 MM 4 ASSORTED COLOURS - PACK OF 4</v>
      </c>
      <c r="AK279" s="10" t="str">
        <f t="shared" si="182"/>
        <v>Revenue</v>
      </c>
      <c r="AL279" s="10" t="str">
        <f>""</f>
        <v/>
      </c>
      <c r="AM279" s="10" t="str">
        <f>""</f>
        <v/>
      </c>
      <c r="AN279" s="10" t="str">
        <f>""</f>
        <v/>
      </c>
      <c r="AO279" s="10" t="str">
        <f>""</f>
        <v/>
      </c>
    </row>
    <row r="280" spans="1:41" s="10" customFormat="1" ht="409.6">
      <c r="A280" s="9"/>
      <c r="B280" s="9"/>
      <c r="C280" s="9"/>
      <c r="D280" s="10" t="str">
        <f>"29444"</f>
        <v>29444</v>
      </c>
      <c r="E280" s="11" t="str">
        <f>""</f>
        <v/>
      </c>
      <c r="F280" s="11" t="str">
        <f t="shared" si="160"/>
        <v>372418</v>
      </c>
      <c r="G280" s="11" t="str">
        <f t="shared" si="161"/>
        <v>2017toJAN</v>
      </c>
      <c r="H280" s="11" t="str">
        <f t="shared" si="162"/>
        <v>CRSP06B</v>
      </c>
      <c r="I280" s="11" t="str">
        <f t="shared" si="163"/>
        <v>34</v>
      </c>
      <c r="J280" s="11" t="str">
        <f t="shared" si="164"/>
        <v>Creditor</v>
      </c>
      <c r="K280" s="11" t="str">
        <f t="shared" si="172"/>
        <v>CS000551</v>
      </c>
      <c r="L280" s="10" t="str">
        <f t="shared" si="173"/>
        <v>Lyreco UK Ltd</v>
      </c>
      <c r="M280" s="12" t="str">
        <f t="shared" si="174"/>
        <v>25/01/2017 00:00:00</v>
      </c>
      <c r="N280" s="12">
        <v>42760</v>
      </c>
      <c r="O280" s="10" t="str">
        <f t="shared" si="175"/>
        <v>C008069</v>
      </c>
      <c r="P280" s="13">
        <v>2.72</v>
      </c>
      <c r="Q280" s="11" t="str">
        <f>"2.7200"</f>
        <v>2.7200</v>
      </c>
      <c r="R280" s="10" t="str">
        <f t="shared" si="176"/>
        <v>C0004552</v>
      </c>
      <c r="S280" s="14" t="str">
        <f t="shared" si="177"/>
        <v>2129.8300</v>
      </c>
      <c r="T280" s="10">
        <v>21713</v>
      </c>
      <c r="U280" s="10">
        <v>1444</v>
      </c>
      <c r="V280" s="10" t="str">
        <f t="shared" si="178"/>
        <v>Printing Stationery &amp; Off Supp</v>
      </c>
      <c r="W280" s="10" t="str">
        <f t="shared" si="179"/>
        <v>Supplies and Services</v>
      </c>
      <c r="X280" s="10" t="str">
        <f>VLOOKUP(U280,'[1]Account code lookup'!A:B,2,0)</f>
        <v>Stationery</v>
      </c>
      <c r="Z280" s="10" t="str">
        <f t="shared" si="189"/>
        <v>Strategy and Commissioning</v>
      </c>
      <c r="AA280" s="10" t="str">
        <f t="shared" si="189"/>
        <v>Strategy and Commissioning</v>
      </c>
      <c r="AB280" s="10" t="str">
        <f>"4sac"</f>
        <v>4sac</v>
      </c>
      <c r="AD280" s="10" t="str">
        <f>"sac08"</f>
        <v>sac08</v>
      </c>
      <c r="AE280" s="10" t="str">
        <f t="shared" si="180"/>
        <v>Environmental Services / Environmental Services Admin</v>
      </c>
      <c r="AG280" s="10" t="str">
        <f>"21713/1444"</f>
        <v>21713/1444</v>
      </c>
      <c r="AI280" s="10" t="str">
        <f t="shared" si="181"/>
        <v>14suse</v>
      </c>
      <c r="AJ280" s="15" t="str">
        <f>"ENERGIZER 1ST PRICE BATTERIES LR03/AAA - PACK OF 10"</f>
        <v>ENERGIZER 1ST PRICE BATTERIES LR03/AAA - PACK OF 10</v>
      </c>
      <c r="AK280" s="10" t="str">
        <f t="shared" si="182"/>
        <v>Revenue</v>
      </c>
      <c r="AL280" s="10" t="str">
        <f>""</f>
        <v/>
      </c>
      <c r="AM280" s="10" t="str">
        <f>""</f>
        <v/>
      </c>
      <c r="AN280" s="10" t="str">
        <f>""</f>
        <v/>
      </c>
      <c r="AO280" s="10" t="str">
        <f>""</f>
        <v/>
      </c>
    </row>
    <row r="281" spans="1:41" s="10" customFormat="1" ht="409.6">
      <c r="A281" s="9"/>
      <c r="B281" s="9"/>
      <c r="C281" s="9"/>
      <c r="D281" s="10" t="str">
        <f>"29445"</f>
        <v>29445</v>
      </c>
      <c r="E281" s="11" t="str">
        <f>""</f>
        <v/>
      </c>
      <c r="F281" s="11" t="str">
        <f t="shared" si="160"/>
        <v>372418</v>
      </c>
      <c r="G281" s="11" t="str">
        <f t="shared" si="161"/>
        <v>2017toJAN</v>
      </c>
      <c r="H281" s="11" t="str">
        <f t="shared" si="162"/>
        <v>CRSP06B</v>
      </c>
      <c r="I281" s="11" t="str">
        <f t="shared" si="163"/>
        <v>34</v>
      </c>
      <c r="J281" s="11" t="str">
        <f t="shared" si="164"/>
        <v>Creditor</v>
      </c>
      <c r="K281" s="11" t="str">
        <f t="shared" si="172"/>
        <v>CS000551</v>
      </c>
      <c r="L281" s="10" t="str">
        <f t="shared" si="173"/>
        <v>Lyreco UK Ltd</v>
      </c>
      <c r="M281" s="12" t="str">
        <f t="shared" si="174"/>
        <v>25/01/2017 00:00:00</v>
      </c>
      <c r="N281" s="12">
        <v>42760</v>
      </c>
      <c r="O281" s="10" t="str">
        <f t="shared" si="175"/>
        <v>C008069</v>
      </c>
      <c r="P281" s="13">
        <v>1.07</v>
      </c>
      <c r="Q281" s="11" t="str">
        <f>"1.0700"</f>
        <v>1.0700</v>
      </c>
      <c r="R281" s="10" t="str">
        <f t="shared" si="176"/>
        <v>C0004552</v>
      </c>
      <c r="S281" s="14" t="str">
        <f t="shared" si="177"/>
        <v>2129.8300</v>
      </c>
      <c r="T281" s="10">
        <v>21713</v>
      </c>
      <c r="U281" s="10">
        <v>1444</v>
      </c>
      <c r="V281" s="10" t="str">
        <f t="shared" si="178"/>
        <v>Printing Stationery &amp; Off Supp</v>
      </c>
      <c r="W281" s="10" t="str">
        <f t="shared" si="179"/>
        <v>Supplies and Services</v>
      </c>
      <c r="X281" s="10" t="str">
        <f>VLOOKUP(U281,'[1]Account code lookup'!A:B,2,0)</f>
        <v>Stationery</v>
      </c>
      <c r="Z281" s="10" t="str">
        <f t="shared" si="189"/>
        <v>Strategy and Commissioning</v>
      </c>
      <c r="AA281" s="10" t="str">
        <f t="shared" si="189"/>
        <v>Strategy and Commissioning</v>
      </c>
      <c r="AB281" s="10" t="str">
        <f>"4sac"</f>
        <v>4sac</v>
      </c>
      <c r="AD281" s="10" t="str">
        <f>"sac08"</f>
        <v>sac08</v>
      </c>
      <c r="AE281" s="10" t="str">
        <f t="shared" si="180"/>
        <v>Environmental Services / Environmental Services Admin</v>
      </c>
      <c r="AG281" s="10" t="str">
        <f>"21713/1444"</f>
        <v>21713/1444</v>
      </c>
      <c r="AI281" s="10" t="str">
        <f t="shared" si="181"/>
        <v>14suse</v>
      </c>
      <c r="AJ281" s="15" t="str">
        <f>"ENERGIZER 1ST PRICE BATTERIES LR6/AA - PACK OF 10"</f>
        <v>ENERGIZER 1ST PRICE BATTERIES LR6/AA - PACK OF 10</v>
      </c>
      <c r="AK281" s="10" t="str">
        <f t="shared" si="182"/>
        <v>Revenue</v>
      </c>
      <c r="AL281" s="10" t="str">
        <f>""</f>
        <v/>
      </c>
      <c r="AM281" s="10" t="str">
        <f>""</f>
        <v/>
      </c>
      <c r="AN281" s="10" t="str">
        <f>""</f>
        <v/>
      </c>
      <c r="AO281" s="10" t="str">
        <f>""</f>
        <v/>
      </c>
    </row>
    <row r="282" spans="1:41" s="10" customFormat="1" ht="409.6">
      <c r="A282" s="9"/>
      <c r="B282" s="9"/>
      <c r="C282" s="9"/>
      <c r="D282" s="10" t="str">
        <f>"29922"</f>
        <v>29922</v>
      </c>
      <c r="E282" s="11" t="str">
        <f>""</f>
        <v/>
      </c>
      <c r="F282" s="11" t="str">
        <f t="shared" si="160"/>
        <v>372418</v>
      </c>
      <c r="G282" s="11" t="str">
        <f t="shared" si="161"/>
        <v>2017toJAN</v>
      </c>
      <c r="H282" s="11" t="str">
        <f t="shared" si="162"/>
        <v>CRSP06B</v>
      </c>
      <c r="I282" s="11" t="str">
        <f t="shared" si="163"/>
        <v>34</v>
      </c>
      <c r="J282" s="11" t="str">
        <f t="shared" si="164"/>
        <v>Creditor</v>
      </c>
      <c r="K282" s="11" t="str">
        <f t="shared" si="172"/>
        <v>CS000551</v>
      </c>
      <c r="L282" s="10" t="str">
        <f t="shared" si="173"/>
        <v>Lyreco UK Ltd</v>
      </c>
      <c r="M282" s="12" t="str">
        <f t="shared" si="174"/>
        <v>25/01/2017 00:00:00</v>
      </c>
      <c r="N282" s="12">
        <v>42760</v>
      </c>
      <c r="O282" s="10" t="str">
        <f t="shared" si="175"/>
        <v>C008069</v>
      </c>
      <c r="P282" s="13">
        <v>0.8</v>
      </c>
      <c r="Q282" s="11" t="str">
        <f>"0.8000"</f>
        <v>0.8000</v>
      </c>
      <c r="R282" s="10" t="str">
        <f t="shared" si="176"/>
        <v>C0004552</v>
      </c>
      <c r="S282" s="14" t="str">
        <f t="shared" si="177"/>
        <v>2129.8300</v>
      </c>
      <c r="T282" s="10">
        <v>21713</v>
      </c>
      <c r="U282" s="10">
        <v>1444</v>
      </c>
      <c r="V282" s="10" t="str">
        <f t="shared" si="178"/>
        <v>Printing Stationery &amp; Off Supp</v>
      </c>
      <c r="W282" s="10" t="str">
        <f t="shared" si="179"/>
        <v>Supplies and Services</v>
      </c>
      <c r="X282" s="10" t="str">
        <f>VLOOKUP(U282,'[1]Account code lookup'!A:B,2,0)</f>
        <v>Stationery</v>
      </c>
      <c r="Z282" s="10" t="str">
        <f t="shared" si="189"/>
        <v>Strategy and Commissioning</v>
      </c>
      <c r="AA282" s="10" t="str">
        <f t="shared" si="189"/>
        <v>Strategy and Commissioning</v>
      </c>
      <c r="AB282" s="10" t="str">
        <f>"4sac"</f>
        <v>4sac</v>
      </c>
      <c r="AD282" s="10" t="str">
        <f>"sac08"</f>
        <v>sac08</v>
      </c>
      <c r="AE282" s="10" t="str">
        <f t="shared" si="180"/>
        <v>Environmental Services / Environmental Services Admin</v>
      </c>
      <c r="AG282" s="10" t="str">
        <f>"21713/1444"</f>
        <v>21713/1444</v>
      </c>
      <c r="AI282" s="10" t="str">
        <f t="shared" si="181"/>
        <v>14suse</v>
      </c>
      <c r="AJ282" s="15" t="str">
        <f>"LYRECO BUDGET ASSORTED COLOUR A4 10 PART DIVIDERS 160GSM"</f>
        <v>LYRECO BUDGET ASSORTED COLOUR A4 10 PART DIVIDERS 160GSM</v>
      </c>
      <c r="AK282" s="10" t="str">
        <f t="shared" si="182"/>
        <v>Revenue</v>
      </c>
      <c r="AL282" s="10" t="str">
        <f>""</f>
        <v/>
      </c>
      <c r="AM282" s="10" t="str">
        <f>""</f>
        <v/>
      </c>
      <c r="AN282" s="10" t="str">
        <f>""</f>
        <v/>
      </c>
      <c r="AO282" s="10" t="str">
        <f>""</f>
        <v/>
      </c>
    </row>
    <row r="283" spans="1:41" s="10" customFormat="1" ht="409.6">
      <c r="A283" s="9"/>
      <c r="B283" s="9"/>
      <c r="C283" s="9"/>
      <c r="D283" s="10" t="str">
        <f>"29974"</f>
        <v>29974</v>
      </c>
      <c r="E283" s="11" t="str">
        <f>""</f>
        <v/>
      </c>
      <c r="F283" s="11" t="str">
        <f t="shared" si="160"/>
        <v>372418</v>
      </c>
      <c r="G283" s="11" t="str">
        <f t="shared" si="161"/>
        <v>2017toJAN</v>
      </c>
      <c r="H283" s="11" t="str">
        <f t="shared" si="162"/>
        <v>CRSP06B</v>
      </c>
      <c r="I283" s="11" t="str">
        <f t="shared" si="163"/>
        <v>34</v>
      </c>
      <c r="J283" s="11" t="str">
        <f t="shared" si="164"/>
        <v>Creditor</v>
      </c>
      <c r="K283" s="11" t="str">
        <f t="shared" si="172"/>
        <v>CS000551</v>
      </c>
      <c r="L283" s="10" t="str">
        <f t="shared" si="173"/>
        <v>Lyreco UK Ltd</v>
      </c>
      <c r="M283" s="12" t="str">
        <f t="shared" si="174"/>
        <v>25/01/2017 00:00:00</v>
      </c>
      <c r="N283" s="12">
        <v>42760</v>
      </c>
      <c r="O283" s="10" t="str">
        <f t="shared" si="175"/>
        <v>C008069</v>
      </c>
      <c r="P283" s="13">
        <v>0.22</v>
      </c>
      <c r="Q283" s="11" t="str">
        <f>"0.2200"</f>
        <v>0.2200</v>
      </c>
      <c r="R283" s="10" t="str">
        <f t="shared" si="176"/>
        <v>C0004552</v>
      </c>
      <c r="S283" s="14" t="str">
        <f t="shared" si="177"/>
        <v>2129.8300</v>
      </c>
      <c r="T283" s="10">
        <v>21713</v>
      </c>
      <c r="U283" s="10">
        <v>1444</v>
      </c>
      <c r="V283" s="10" t="str">
        <f t="shared" si="178"/>
        <v>Printing Stationery &amp; Off Supp</v>
      </c>
      <c r="W283" s="10" t="str">
        <f t="shared" si="179"/>
        <v>Supplies and Services</v>
      </c>
      <c r="X283" s="10" t="str">
        <f>VLOOKUP(U283,'[1]Account code lookup'!A:B,2,0)</f>
        <v>Stationery</v>
      </c>
      <c r="Z283" s="10" t="str">
        <f t="shared" si="189"/>
        <v>Strategy and Commissioning</v>
      </c>
      <c r="AA283" s="10" t="str">
        <f t="shared" si="189"/>
        <v>Strategy and Commissioning</v>
      </c>
      <c r="AB283" s="10" t="str">
        <f>"4sac"</f>
        <v>4sac</v>
      </c>
      <c r="AD283" s="10" t="str">
        <f>"sac08"</f>
        <v>sac08</v>
      </c>
      <c r="AE283" s="10" t="str">
        <f t="shared" si="180"/>
        <v>Environmental Services / Environmental Services Admin</v>
      </c>
      <c r="AG283" s="10" t="str">
        <f>"21713/1444"</f>
        <v>21713/1444</v>
      </c>
      <c r="AI283" s="10" t="str">
        <f t="shared" si="181"/>
        <v>14suse</v>
      </c>
      <c r="AJ283" s="15" t="str">
        <f>"SHATTERPROOF RULER 30CM / 12 INCHES CLEAR"</f>
        <v>SHATTERPROOF RULER 30CM / 12 INCHES CLEAR</v>
      </c>
      <c r="AK283" s="10" t="str">
        <f t="shared" si="182"/>
        <v>Revenue</v>
      </c>
      <c r="AL283" s="10" t="str">
        <f>""</f>
        <v/>
      </c>
      <c r="AM283" s="10" t="str">
        <f>""</f>
        <v/>
      </c>
      <c r="AN283" s="10" t="str">
        <f>""</f>
        <v/>
      </c>
      <c r="AO283" s="10" t="str">
        <f>""</f>
        <v/>
      </c>
    </row>
    <row r="284" spans="1:41" s="10" customFormat="1" ht="409.6">
      <c r="A284" s="9"/>
      <c r="B284" s="9"/>
      <c r="C284" s="9"/>
      <c r="D284" s="10" t="str">
        <f>"29975"</f>
        <v>29975</v>
      </c>
      <c r="E284" s="11" t="str">
        <f>""</f>
        <v/>
      </c>
      <c r="F284" s="11" t="str">
        <f t="shared" si="160"/>
        <v>372418</v>
      </c>
      <c r="G284" s="11" t="str">
        <f t="shared" si="161"/>
        <v>2017toJAN</v>
      </c>
      <c r="H284" s="11" t="str">
        <f t="shared" si="162"/>
        <v>CRSP06B</v>
      </c>
      <c r="I284" s="11" t="str">
        <f t="shared" si="163"/>
        <v>34</v>
      </c>
      <c r="J284" s="11" t="str">
        <f t="shared" si="164"/>
        <v>Creditor</v>
      </c>
      <c r="K284" s="11" t="str">
        <f t="shared" si="172"/>
        <v>CS000551</v>
      </c>
      <c r="L284" s="10" t="str">
        <f t="shared" si="173"/>
        <v>Lyreco UK Ltd</v>
      </c>
      <c r="M284" s="12" t="str">
        <f t="shared" si="174"/>
        <v>25/01/2017 00:00:00</v>
      </c>
      <c r="N284" s="12">
        <v>42760</v>
      </c>
      <c r="O284" s="10" t="str">
        <f t="shared" si="175"/>
        <v>C008069</v>
      </c>
      <c r="P284" s="13">
        <v>11.99</v>
      </c>
      <c r="Q284" s="11" t="str">
        <f>"11.9900"</f>
        <v>11.9900</v>
      </c>
      <c r="R284" s="10" t="str">
        <f t="shared" si="176"/>
        <v>C0004552</v>
      </c>
      <c r="S284" s="14" t="str">
        <f t="shared" si="177"/>
        <v>2129.8300</v>
      </c>
      <c r="T284" s="10">
        <v>21733</v>
      </c>
      <c r="U284" s="10">
        <v>1444</v>
      </c>
      <c r="V284" s="10" t="str">
        <f t="shared" si="178"/>
        <v>Printing Stationery &amp; Off Supp</v>
      </c>
      <c r="W284" s="10" t="str">
        <f t="shared" si="179"/>
        <v>Supplies and Services</v>
      </c>
      <c r="X284" s="10" t="str">
        <f>VLOOKUP(U284,'[1]Account code lookup'!A:B,2,0)</f>
        <v>Stationery</v>
      </c>
      <c r="Z284" s="10" t="str">
        <f>"Information Services"</f>
        <v>Information Services</v>
      </c>
      <c r="AA284" s="10" t="str">
        <f>"Commercial Development"</f>
        <v>Commercial Development</v>
      </c>
      <c r="AB284" s="10" t="str">
        <f>"2cdb"</f>
        <v>2cdb</v>
      </c>
      <c r="AD284" s="10" t="str">
        <f>"cdb04"</f>
        <v>cdb04</v>
      </c>
      <c r="AE284" s="10" t="str">
        <f t="shared" si="180"/>
        <v>Environmental Services / Environmental Services Admin</v>
      </c>
      <c r="AG284" s="10" t="str">
        <f>"21733/1444"</f>
        <v>21733/1444</v>
      </c>
      <c r="AI284" s="10" t="str">
        <f t="shared" si="181"/>
        <v>14suse</v>
      </c>
      <c r="AJ284" s="15" t="str">
        <f>"FELLOWES PLUSH TOUCH KEYBOARD WRIST SUPPORT BLACK"</f>
        <v>FELLOWES PLUSH TOUCH KEYBOARD WRIST SUPPORT BLACK</v>
      </c>
      <c r="AK284" s="10" t="str">
        <f t="shared" si="182"/>
        <v>Revenue</v>
      </c>
      <c r="AL284" s="10" t="str">
        <f>""</f>
        <v/>
      </c>
      <c r="AM284" s="10" t="str">
        <f>""</f>
        <v/>
      </c>
      <c r="AN284" s="10" t="str">
        <f>""</f>
        <v/>
      </c>
      <c r="AO284" s="10" t="str">
        <f>""</f>
        <v/>
      </c>
    </row>
    <row r="285" spans="1:41" s="10" customFormat="1" ht="409.6">
      <c r="A285" s="9"/>
      <c r="B285" s="9"/>
      <c r="C285" s="9"/>
      <c r="D285" s="10" t="str">
        <f>"30196"</f>
        <v>30196</v>
      </c>
      <c r="E285" s="11" t="str">
        <f>""</f>
        <v/>
      </c>
      <c r="F285" s="11" t="str">
        <f t="shared" si="160"/>
        <v>372418</v>
      </c>
      <c r="G285" s="11" t="str">
        <f t="shared" si="161"/>
        <v>2017toJAN</v>
      </c>
      <c r="H285" s="11" t="str">
        <f t="shared" si="162"/>
        <v>CRSP06B</v>
      </c>
      <c r="I285" s="11" t="str">
        <f t="shared" si="163"/>
        <v>34</v>
      </c>
      <c r="J285" s="11" t="str">
        <f t="shared" si="164"/>
        <v>Creditor</v>
      </c>
      <c r="K285" s="11" t="str">
        <f t="shared" si="172"/>
        <v>CS000551</v>
      </c>
      <c r="L285" s="10" t="str">
        <f t="shared" si="173"/>
        <v>Lyreco UK Ltd</v>
      </c>
      <c r="M285" s="12" t="str">
        <f t="shared" si="174"/>
        <v>25/01/2017 00:00:00</v>
      </c>
      <c r="N285" s="12">
        <v>42760</v>
      </c>
      <c r="O285" s="10" t="str">
        <f t="shared" si="175"/>
        <v>C008069</v>
      </c>
      <c r="P285" s="13">
        <v>9.77</v>
      </c>
      <c r="Q285" s="11" t="str">
        <f>"9.7700"</f>
        <v>9.7700</v>
      </c>
      <c r="R285" s="10" t="str">
        <f t="shared" si="176"/>
        <v>C0004552</v>
      </c>
      <c r="S285" s="14" t="str">
        <f t="shared" si="177"/>
        <v>2129.8300</v>
      </c>
      <c r="T285" s="10">
        <v>21733</v>
      </c>
      <c r="U285" s="10">
        <v>1444</v>
      </c>
      <c r="V285" s="10" t="str">
        <f t="shared" si="178"/>
        <v>Printing Stationery &amp; Off Supp</v>
      </c>
      <c r="W285" s="10" t="str">
        <f t="shared" si="179"/>
        <v>Supplies and Services</v>
      </c>
      <c r="X285" s="10" t="str">
        <f>VLOOKUP(U285,'[1]Account code lookup'!A:B,2,0)</f>
        <v>Stationery</v>
      </c>
      <c r="Z285" s="10" t="str">
        <f>"Information Services"</f>
        <v>Information Services</v>
      </c>
      <c r="AA285" s="10" t="str">
        <f>"Commercial Development"</f>
        <v>Commercial Development</v>
      </c>
      <c r="AB285" s="10" t="str">
        <f>"2cdb"</f>
        <v>2cdb</v>
      </c>
      <c r="AD285" s="10" t="str">
        <f>"cdb04"</f>
        <v>cdb04</v>
      </c>
      <c r="AE285" s="10" t="str">
        <f t="shared" si="180"/>
        <v>Environmental Services / Environmental Services Admin</v>
      </c>
      <c r="AG285" s="10" t="str">
        <f>"21733/1444"</f>
        <v>21733/1444</v>
      </c>
      <c r="AI285" s="10" t="str">
        <f t="shared" si="181"/>
        <v>14suse</v>
      </c>
      <c r="AJ285" s="15" t="str">
        <f>"FELLOWES PLUSH TOUCH MOUSE PAD WRIST SUPPORT BLACK"</f>
        <v>FELLOWES PLUSH TOUCH MOUSE PAD WRIST SUPPORT BLACK</v>
      </c>
      <c r="AK285" s="10" t="str">
        <f t="shared" si="182"/>
        <v>Revenue</v>
      </c>
      <c r="AL285" s="10" t="str">
        <f>""</f>
        <v/>
      </c>
      <c r="AM285" s="10" t="str">
        <f>""</f>
        <v/>
      </c>
      <c r="AN285" s="10" t="str">
        <f>""</f>
        <v/>
      </c>
      <c r="AO285" s="10" t="str">
        <f>""</f>
        <v/>
      </c>
    </row>
    <row r="286" spans="1:41" s="10" customFormat="1" ht="409.6">
      <c r="A286" s="9"/>
      <c r="B286" s="9"/>
      <c r="C286" s="9"/>
      <c r="D286" s="10" t="str">
        <f>"30197"</f>
        <v>30197</v>
      </c>
      <c r="E286" s="11" t="str">
        <f>""</f>
        <v/>
      </c>
      <c r="F286" s="11" t="str">
        <f t="shared" si="160"/>
        <v>372418</v>
      </c>
      <c r="G286" s="11" t="str">
        <f t="shared" si="161"/>
        <v>2017toJAN</v>
      </c>
      <c r="H286" s="11" t="str">
        <f t="shared" si="162"/>
        <v>CRSP06B</v>
      </c>
      <c r="I286" s="11" t="str">
        <f t="shared" si="163"/>
        <v>34</v>
      </c>
      <c r="J286" s="11" t="str">
        <f t="shared" si="164"/>
        <v>Creditor</v>
      </c>
      <c r="K286" s="11" t="str">
        <f t="shared" si="172"/>
        <v>CS000551</v>
      </c>
      <c r="L286" s="10" t="str">
        <f t="shared" si="173"/>
        <v>Lyreco UK Ltd</v>
      </c>
      <c r="M286" s="12" t="str">
        <f t="shared" si="174"/>
        <v>25/01/2017 00:00:00</v>
      </c>
      <c r="N286" s="12">
        <v>42760</v>
      </c>
      <c r="O286" s="10" t="str">
        <f t="shared" si="175"/>
        <v>C008069</v>
      </c>
      <c r="P286" s="13">
        <v>29.99</v>
      </c>
      <c r="Q286" s="11" t="str">
        <f>"29.9900"</f>
        <v>29.9900</v>
      </c>
      <c r="R286" s="10" t="str">
        <f t="shared" si="176"/>
        <v>C0004552</v>
      </c>
      <c r="S286" s="14" t="str">
        <f t="shared" si="177"/>
        <v>2129.8300</v>
      </c>
      <c r="T286" s="10">
        <v>21733</v>
      </c>
      <c r="U286" s="10">
        <v>1444</v>
      </c>
      <c r="V286" s="10" t="str">
        <f t="shared" si="178"/>
        <v>Printing Stationery &amp; Off Supp</v>
      </c>
      <c r="W286" s="10" t="str">
        <f t="shared" si="179"/>
        <v>Supplies and Services</v>
      </c>
      <c r="X286" s="10" t="str">
        <f>VLOOKUP(U286,'[1]Account code lookup'!A:B,2,0)</f>
        <v>Stationery</v>
      </c>
      <c r="Z286" s="10" t="str">
        <f>"Information Services"</f>
        <v>Information Services</v>
      </c>
      <c r="AA286" s="10" t="str">
        <f>"Commercial Development"</f>
        <v>Commercial Development</v>
      </c>
      <c r="AB286" s="10" t="str">
        <f>"2cdb"</f>
        <v>2cdb</v>
      </c>
      <c r="AD286" s="10" t="str">
        <f>"cdb04"</f>
        <v>cdb04</v>
      </c>
      <c r="AE286" s="10" t="str">
        <f t="shared" si="180"/>
        <v>Environmental Services / Environmental Services Admin</v>
      </c>
      <c r="AG286" s="10" t="str">
        <f>"21733/1444"</f>
        <v>21733/1444</v>
      </c>
      <c r="AI286" s="10" t="str">
        <f t="shared" si="181"/>
        <v>14suse</v>
      </c>
      <c r="AJ286" s="15" t="str">
        <f>"FELLOWES SMARTSUITES MONITOR RISER PLUS"</f>
        <v>FELLOWES SMARTSUITES MONITOR RISER PLUS</v>
      </c>
      <c r="AK286" s="10" t="str">
        <f t="shared" si="182"/>
        <v>Revenue</v>
      </c>
      <c r="AL286" s="10" t="str">
        <f>""</f>
        <v/>
      </c>
      <c r="AM286" s="10" t="str">
        <f>""</f>
        <v/>
      </c>
      <c r="AN286" s="10" t="str">
        <f>""</f>
        <v/>
      </c>
      <c r="AO286" s="10" t="str">
        <f>""</f>
        <v/>
      </c>
    </row>
    <row r="287" spans="1:41" s="10" customFormat="1" ht="409.6">
      <c r="A287" s="9"/>
      <c r="B287" s="9"/>
      <c r="C287" s="9"/>
      <c r="D287" s="10" t="str">
        <f>"30468"</f>
        <v>30468</v>
      </c>
      <c r="E287" s="11" t="str">
        <f>""</f>
        <v/>
      </c>
      <c r="F287" s="11" t="str">
        <f t="shared" ref="F287:F350" si="190">"372418"</f>
        <v>372418</v>
      </c>
      <c r="G287" s="11" t="str">
        <f t="shared" ref="G287:G350" si="191">"2017toJAN"</f>
        <v>2017toJAN</v>
      </c>
      <c r="H287" s="11" t="str">
        <f t="shared" ref="H287:H350" si="192">"CRSP06B"</f>
        <v>CRSP06B</v>
      </c>
      <c r="I287" s="11" t="str">
        <f t="shared" ref="I287:I350" si="193">"34"</f>
        <v>34</v>
      </c>
      <c r="J287" s="11" t="str">
        <f t="shared" ref="J287:J350" si="194">"Creditor"</f>
        <v>Creditor</v>
      </c>
      <c r="K287" s="11" t="str">
        <f t="shared" si="172"/>
        <v>CS000551</v>
      </c>
      <c r="L287" s="10" t="str">
        <f t="shared" si="173"/>
        <v>Lyreco UK Ltd</v>
      </c>
      <c r="M287" s="12" t="str">
        <f t="shared" si="174"/>
        <v>25/01/2017 00:00:00</v>
      </c>
      <c r="N287" s="12">
        <v>42760</v>
      </c>
      <c r="O287" s="10" t="str">
        <f t="shared" si="175"/>
        <v>C008069</v>
      </c>
      <c r="P287" s="13">
        <v>0.27</v>
      </c>
      <c r="Q287" s="11" t="str">
        <f>"0.2700"</f>
        <v>0.2700</v>
      </c>
      <c r="R287" s="10" t="str">
        <f t="shared" si="176"/>
        <v>C0004552</v>
      </c>
      <c r="S287" s="14" t="str">
        <f t="shared" si="177"/>
        <v>2129.8300</v>
      </c>
      <c r="T287" s="10">
        <v>21733</v>
      </c>
      <c r="U287" s="10">
        <v>1444</v>
      </c>
      <c r="V287" s="10" t="str">
        <f t="shared" si="178"/>
        <v>Printing Stationery &amp; Off Supp</v>
      </c>
      <c r="W287" s="10" t="str">
        <f t="shared" si="179"/>
        <v>Supplies and Services</v>
      </c>
      <c r="X287" s="10" t="str">
        <f>VLOOKUP(U287,'[1]Account code lookup'!A:B,2,0)</f>
        <v>Stationery</v>
      </c>
      <c r="Z287" s="10" t="str">
        <f>"Information Services"</f>
        <v>Information Services</v>
      </c>
      <c r="AA287" s="10" t="str">
        <f>"Commercial Development"</f>
        <v>Commercial Development</v>
      </c>
      <c r="AB287" s="10" t="str">
        <f>"2cdb"</f>
        <v>2cdb</v>
      </c>
      <c r="AD287" s="10" t="str">
        <f>"cdb04"</f>
        <v>cdb04</v>
      </c>
      <c r="AE287" s="10" t="str">
        <f t="shared" si="180"/>
        <v>Environmental Services / Environmental Services Admin</v>
      </c>
      <c r="AG287" s="10" t="str">
        <f>"21733/1444"</f>
        <v>21733/1444</v>
      </c>
      <c r="AI287" s="10" t="str">
        <f t="shared" si="181"/>
        <v>14suse</v>
      </c>
      <c r="AJ287" s="15" t="str">
        <f>"FOLD-BACK PAPER CLIPS BLACK 32MM - PACK OF 12"</f>
        <v>FOLD-BACK PAPER CLIPS BLACK 32MM - PACK OF 12</v>
      </c>
      <c r="AK287" s="10" t="str">
        <f t="shared" si="182"/>
        <v>Revenue</v>
      </c>
      <c r="AL287" s="10" t="str">
        <f>""</f>
        <v/>
      </c>
      <c r="AM287" s="10" t="str">
        <f>""</f>
        <v/>
      </c>
      <c r="AN287" s="10" t="str">
        <f>""</f>
        <v/>
      </c>
      <c r="AO287" s="10" t="str">
        <f>""</f>
        <v/>
      </c>
    </row>
    <row r="288" spans="1:41" s="10" customFormat="1" ht="409.6">
      <c r="A288" s="9"/>
      <c r="B288" s="9"/>
      <c r="C288" s="9"/>
      <c r="D288" s="10" t="str">
        <f>"30536"</f>
        <v>30536</v>
      </c>
      <c r="E288" s="11" t="str">
        <f>""</f>
        <v/>
      </c>
      <c r="F288" s="11" t="str">
        <f t="shared" si="190"/>
        <v>372418</v>
      </c>
      <c r="G288" s="11" t="str">
        <f t="shared" si="191"/>
        <v>2017toJAN</v>
      </c>
      <c r="H288" s="11" t="str">
        <f t="shared" si="192"/>
        <v>CRSP06B</v>
      </c>
      <c r="I288" s="11" t="str">
        <f t="shared" si="193"/>
        <v>34</v>
      </c>
      <c r="J288" s="11" t="str">
        <f t="shared" si="194"/>
        <v>Creditor</v>
      </c>
      <c r="K288" s="11" t="str">
        <f t="shared" si="172"/>
        <v>CS000551</v>
      </c>
      <c r="L288" s="10" t="str">
        <f t="shared" si="173"/>
        <v>Lyreco UK Ltd</v>
      </c>
      <c r="M288" s="12" t="str">
        <f t="shared" si="174"/>
        <v>25/01/2017 00:00:00</v>
      </c>
      <c r="N288" s="12">
        <v>42760</v>
      </c>
      <c r="O288" s="10" t="str">
        <f t="shared" si="175"/>
        <v>C008069</v>
      </c>
      <c r="P288" s="13">
        <v>1.01</v>
      </c>
      <c r="Q288" s="11" t="str">
        <f>"1.0100"</f>
        <v>1.0100</v>
      </c>
      <c r="R288" s="10" t="str">
        <f t="shared" si="176"/>
        <v>C0004552</v>
      </c>
      <c r="S288" s="14" t="str">
        <f t="shared" si="177"/>
        <v>2129.8300</v>
      </c>
      <c r="T288" s="10">
        <v>21747</v>
      </c>
      <c r="U288" s="10">
        <v>1444</v>
      </c>
      <c r="V288" s="10" t="str">
        <f t="shared" si="178"/>
        <v>Printing Stationery &amp; Off Supp</v>
      </c>
      <c r="W288" s="10" t="str">
        <f t="shared" si="179"/>
        <v>Supplies and Services</v>
      </c>
      <c r="X288" s="10" t="str">
        <f>VLOOKUP(U288,'[1]Account code lookup'!A:B,2,0)</f>
        <v>Stationery</v>
      </c>
      <c r="Z288" s="10" t="str">
        <f t="shared" ref="Z288:Z293" si="195">"Finance and Procurement"</f>
        <v>Finance and Procurement</v>
      </c>
      <c r="AA288" s="10" t="str">
        <f t="shared" ref="AA288:AA293" si="196">"Chief Finance Officer"</f>
        <v>Chief Finance Officer</v>
      </c>
      <c r="AB288" s="10" t="str">
        <f t="shared" ref="AB288:AB293" si="197">"3cfo"</f>
        <v>3cfo</v>
      </c>
      <c r="AD288" s="10" t="str">
        <f t="shared" ref="AD288:AD293" si="198">"cfo02"</f>
        <v>cfo02</v>
      </c>
      <c r="AE288" s="10" t="str">
        <f t="shared" si="180"/>
        <v>Environmental Services / Environmental Services Admin</v>
      </c>
      <c r="AG288" s="10" t="str">
        <f t="shared" ref="AG288:AG293" si="199">"21747/1444"</f>
        <v>21747/1444</v>
      </c>
      <c r="AI288" s="10" t="str">
        <f t="shared" si="181"/>
        <v>14suse</v>
      </c>
      <c r="AJ288" s="15" t="str">
        <f>"LYRECO A5 DESK DIARY BLACK - WEEK TO VIEW"</f>
        <v>LYRECO A5 DESK DIARY BLACK - WEEK TO VIEW</v>
      </c>
      <c r="AK288" s="10" t="str">
        <f t="shared" si="182"/>
        <v>Revenue</v>
      </c>
      <c r="AL288" s="10" t="str">
        <f>""</f>
        <v/>
      </c>
      <c r="AM288" s="10" t="str">
        <f>""</f>
        <v/>
      </c>
      <c r="AN288" s="10" t="str">
        <f>""</f>
        <v/>
      </c>
      <c r="AO288" s="10" t="str">
        <f>""</f>
        <v/>
      </c>
    </row>
    <row r="289" spans="1:41" s="10" customFormat="1" ht="409.6">
      <c r="A289" s="9"/>
      <c r="B289" s="9"/>
      <c r="C289" s="9"/>
      <c r="D289" s="10" t="str">
        <f>"30647"</f>
        <v>30647</v>
      </c>
      <c r="E289" s="11" t="str">
        <f>""</f>
        <v/>
      </c>
      <c r="F289" s="11" t="str">
        <f t="shared" si="190"/>
        <v>372418</v>
      </c>
      <c r="G289" s="11" t="str">
        <f t="shared" si="191"/>
        <v>2017toJAN</v>
      </c>
      <c r="H289" s="11" t="str">
        <f t="shared" si="192"/>
        <v>CRSP06B</v>
      </c>
      <c r="I289" s="11" t="str">
        <f t="shared" si="193"/>
        <v>34</v>
      </c>
      <c r="J289" s="11" t="str">
        <f t="shared" si="194"/>
        <v>Creditor</v>
      </c>
      <c r="K289" s="11" t="str">
        <f t="shared" si="172"/>
        <v>CS000551</v>
      </c>
      <c r="L289" s="10" t="str">
        <f t="shared" si="173"/>
        <v>Lyreco UK Ltd</v>
      </c>
      <c r="M289" s="12" t="str">
        <f t="shared" si="174"/>
        <v>25/01/2017 00:00:00</v>
      </c>
      <c r="N289" s="12">
        <v>42760</v>
      </c>
      <c r="O289" s="10" t="str">
        <f t="shared" si="175"/>
        <v>C008069</v>
      </c>
      <c r="P289" s="13">
        <v>1.05</v>
      </c>
      <c r="Q289" s="11" t="str">
        <f>"1.0500"</f>
        <v>1.0500</v>
      </c>
      <c r="R289" s="10" t="str">
        <f t="shared" si="176"/>
        <v>C0004552</v>
      </c>
      <c r="S289" s="14" t="str">
        <f t="shared" si="177"/>
        <v>2129.8300</v>
      </c>
      <c r="T289" s="10">
        <v>21747</v>
      </c>
      <c r="U289" s="10">
        <v>1444</v>
      </c>
      <c r="V289" s="10" t="str">
        <f t="shared" si="178"/>
        <v>Printing Stationery &amp; Off Supp</v>
      </c>
      <c r="W289" s="10" t="str">
        <f t="shared" si="179"/>
        <v>Supplies and Services</v>
      </c>
      <c r="X289" s="10" t="str">
        <f>VLOOKUP(U289,'[1]Account code lookup'!A:B,2,0)</f>
        <v>Stationery</v>
      </c>
      <c r="Z289" s="10" t="str">
        <f t="shared" si="195"/>
        <v>Finance and Procurement</v>
      </c>
      <c r="AA289" s="10" t="str">
        <f t="shared" si="196"/>
        <v>Chief Finance Officer</v>
      </c>
      <c r="AB289" s="10" t="str">
        <f t="shared" si="197"/>
        <v>3cfo</v>
      </c>
      <c r="AD289" s="10" t="str">
        <f t="shared" si="198"/>
        <v>cfo02</v>
      </c>
      <c r="AE289" s="10" t="str">
        <f t="shared" si="180"/>
        <v>Environmental Services / Environmental Services Admin</v>
      </c>
      <c r="AG289" s="10" t="str">
        <f t="shared" si="199"/>
        <v>21747/1444</v>
      </c>
      <c r="AI289" s="10" t="str">
        <f t="shared" si="181"/>
        <v>14suse</v>
      </c>
      <c r="AJ289" s="15" t="str">
        <f>"LYRECO BUDGET ASSORTED COLOUR A4 12 PART DIVIDERS 160GSM"</f>
        <v>LYRECO BUDGET ASSORTED COLOUR A4 12 PART DIVIDERS 160GSM</v>
      </c>
      <c r="AK289" s="10" t="str">
        <f t="shared" si="182"/>
        <v>Revenue</v>
      </c>
      <c r="AL289" s="10" t="str">
        <f>""</f>
        <v/>
      </c>
      <c r="AM289" s="10" t="str">
        <f>""</f>
        <v/>
      </c>
      <c r="AN289" s="10" t="str">
        <f>""</f>
        <v/>
      </c>
      <c r="AO289" s="10" t="str">
        <f>""</f>
        <v/>
      </c>
    </row>
    <row r="290" spans="1:41" s="10" customFormat="1" ht="409.6">
      <c r="A290" s="9"/>
      <c r="B290" s="9"/>
      <c r="C290" s="9"/>
      <c r="D290" s="10" t="str">
        <f>"30891"</f>
        <v>30891</v>
      </c>
      <c r="E290" s="11" t="str">
        <f>""</f>
        <v/>
      </c>
      <c r="F290" s="11" t="str">
        <f t="shared" si="190"/>
        <v>372418</v>
      </c>
      <c r="G290" s="11" t="str">
        <f t="shared" si="191"/>
        <v>2017toJAN</v>
      </c>
      <c r="H290" s="11" t="str">
        <f t="shared" si="192"/>
        <v>CRSP06B</v>
      </c>
      <c r="I290" s="11" t="str">
        <f t="shared" si="193"/>
        <v>34</v>
      </c>
      <c r="J290" s="11" t="str">
        <f t="shared" si="194"/>
        <v>Creditor</v>
      </c>
      <c r="K290" s="11" t="str">
        <f t="shared" si="172"/>
        <v>CS000551</v>
      </c>
      <c r="L290" s="10" t="str">
        <f t="shared" si="173"/>
        <v>Lyreco UK Ltd</v>
      </c>
      <c r="M290" s="12" t="str">
        <f t="shared" si="174"/>
        <v>25/01/2017 00:00:00</v>
      </c>
      <c r="N290" s="12">
        <v>42760</v>
      </c>
      <c r="O290" s="10" t="str">
        <f t="shared" si="175"/>
        <v>C008069</v>
      </c>
      <c r="P290" s="13">
        <v>9.1999999999999993</v>
      </c>
      <c r="Q290" s="11" t="str">
        <f>"9.2000"</f>
        <v>9.2000</v>
      </c>
      <c r="R290" s="10" t="str">
        <f t="shared" si="176"/>
        <v>C0004552</v>
      </c>
      <c r="S290" s="14" t="str">
        <f t="shared" si="177"/>
        <v>2129.8300</v>
      </c>
      <c r="T290" s="10">
        <v>21747</v>
      </c>
      <c r="U290" s="10">
        <v>1444</v>
      </c>
      <c r="V290" s="10" t="str">
        <f t="shared" si="178"/>
        <v>Printing Stationery &amp; Off Supp</v>
      </c>
      <c r="W290" s="10" t="str">
        <f t="shared" si="179"/>
        <v>Supplies and Services</v>
      </c>
      <c r="X290" s="10" t="str">
        <f>VLOOKUP(U290,'[1]Account code lookup'!A:B,2,0)</f>
        <v>Stationery</v>
      </c>
      <c r="Z290" s="10" t="str">
        <f t="shared" si="195"/>
        <v>Finance and Procurement</v>
      </c>
      <c r="AA290" s="10" t="str">
        <f t="shared" si="196"/>
        <v>Chief Finance Officer</v>
      </c>
      <c r="AB290" s="10" t="str">
        <f t="shared" si="197"/>
        <v>3cfo</v>
      </c>
      <c r="AD290" s="10" t="str">
        <f t="shared" si="198"/>
        <v>cfo02</v>
      </c>
      <c r="AE290" s="10" t="str">
        <f t="shared" si="180"/>
        <v>Environmental Services / Environmental Services Admin</v>
      </c>
      <c r="AG290" s="10" t="str">
        <f t="shared" si="199"/>
        <v>21747/1444</v>
      </c>
      <c r="AI290" s="10" t="str">
        <f t="shared" si="181"/>
        <v>14suse</v>
      </c>
      <c r="AJ290" s="15" t="str">
        <f>"LYRECO POLYPROPYLENE RED A4 LEVER ARCH FILES - BOX OF 10"</f>
        <v>LYRECO POLYPROPYLENE RED A4 LEVER ARCH FILES - BOX OF 10</v>
      </c>
      <c r="AK290" s="10" t="str">
        <f t="shared" si="182"/>
        <v>Revenue</v>
      </c>
      <c r="AL290" s="10" t="str">
        <f>""</f>
        <v/>
      </c>
      <c r="AM290" s="10" t="str">
        <f>""</f>
        <v/>
      </c>
      <c r="AN290" s="10" t="str">
        <f>""</f>
        <v/>
      </c>
      <c r="AO290" s="10" t="str">
        <f>""</f>
        <v/>
      </c>
    </row>
    <row r="291" spans="1:41" s="10" customFormat="1" ht="409.6">
      <c r="A291" s="9"/>
      <c r="B291" s="9"/>
      <c r="C291" s="9"/>
      <c r="D291" s="10" t="str">
        <f>"31068"</f>
        <v>31068</v>
      </c>
      <c r="E291" s="11" t="str">
        <f>""</f>
        <v/>
      </c>
      <c r="F291" s="11" t="str">
        <f t="shared" si="190"/>
        <v>372418</v>
      </c>
      <c r="G291" s="11" t="str">
        <f t="shared" si="191"/>
        <v>2017toJAN</v>
      </c>
      <c r="H291" s="11" t="str">
        <f t="shared" si="192"/>
        <v>CRSP06B</v>
      </c>
      <c r="I291" s="11" t="str">
        <f t="shared" si="193"/>
        <v>34</v>
      </c>
      <c r="J291" s="11" t="str">
        <f t="shared" si="194"/>
        <v>Creditor</v>
      </c>
      <c r="K291" s="11" t="str">
        <f t="shared" si="172"/>
        <v>CS000551</v>
      </c>
      <c r="L291" s="10" t="str">
        <f t="shared" si="173"/>
        <v>Lyreco UK Ltd</v>
      </c>
      <c r="M291" s="12" t="str">
        <f t="shared" si="174"/>
        <v>25/01/2017 00:00:00</v>
      </c>
      <c r="N291" s="12">
        <v>42760</v>
      </c>
      <c r="O291" s="10" t="str">
        <f t="shared" si="175"/>
        <v>C008069</v>
      </c>
      <c r="P291" s="13">
        <v>9.1999999999999993</v>
      </c>
      <c r="Q291" s="11" t="str">
        <f>"9.2000"</f>
        <v>9.2000</v>
      </c>
      <c r="R291" s="10" t="str">
        <f t="shared" si="176"/>
        <v>C0004552</v>
      </c>
      <c r="S291" s="14" t="str">
        <f t="shared" si="177"/>
        <v>2129.8300</v>
      </c>
      <c r="T291" s="10">
        <v>21747</v>
      </c>
      <c r="U291" s="10">
        <v>1444</v>
      </c>
      <c r="V291" s="10" t="str">
        <f t="shared" si="178"/>
        <v>Printing Stationery &amp; Off Supp</v>
      </c>
      <c r="W291" s="10" t="str">
        <f t="shared" si="179"/>
        <v>Supplies and Services</v>
      </c>
      <c r="X291" s="10" t="str">
        <f>VLOOKUP(U291,'[1]Account code lookup'!A:B,2,0)</f>
        <v>Stationery</v>
      </c>
      <c r="Z291" s="10" t="str">
        <f t="shared" si="195"/>
        <v>Finance and Procurement</v>
      </c>
      <c r="AA291" s="10" t="str">
        <f t="shared" si="196"/>
        <v>Chief Finance Officer</v>
      </c>
      <c r="AB291" s="10" t="str">
        <f t="shared" si="197"/>
        <v>3cfo</v>
      </c>
      <c r="AD291" s="10" t="str">
        <f t="shared" si="198"/>
        <v>cfo02</v>
      </c>
      <c r="AE291" s="10" t="str">
        <f t="shared" si="180"/>
        <v>Environmental Services / Environmental Services Admin</v>
      </c>
      <c r="AG291" s="10" t="str">
        <f t="shared" si="199"/>
        <v>21747/1444</v>
      </c>
      <c r="AI291" s="10" t="str">
        <f t="shared" si="181"/>
        <v>14suse</v>
      </c>
      <c r="AJ291" s="15" t="str">
        <f>"LYRECO POLYPROPYLENE YELLOW A4 LEVER ARCH FILES - BOX OF 10"</f>
        <v>LYRECO POLYPROPYLENE YELLOW A4 LEVER ARCH FILES - BOX OF 10</v>
      </c>
      <c r="AK291" s="10" t="str">
        <f t="shared" si="182"/>
        <v>Revenue</v>
      </c>
      <c r="AL291" s="10" t="str">
        <f>""</f>
        <v/>
      </c>
      <c r="AM291" s="10" t="str">
        <f>""</f>
        <v/>
      </c>
      <c r="AN291" s="10" t="str">
        <f>""</f>
        <v/>
      </c>
      <c r="AO291" s="10" t="str">
        <f>""</f>
        <v/>
      </c>
    </row>
    <row r="292" spans="1:41" s="10" customFormat="1" ht="409.6">
      <c r="A292" s="9"/>
      <c r="B292" s="9"/>
      <c r="C292" s="9"/>
      <c r="D292" s="10" t="str">
        <f>"31120"</f>
        <v>31120</v>
      </c>
      <c r="E292" s="11" t="str">
        <f>""</f>
        <v/>
      </c>
      <c r="F292" s="11" t="str">
        <f t="shared" si="190"/>
        <v>372418</v>
      </c>
      <c r="G292" s="11" t="str">
        <f t="shared" si="191"/>
        <v>2017toJAN</v>
      </c>
      <c r="H292" s="11" t="str">
        <f t="shared" si="192"/>
        <v>CRSP06B</v>
      </c>
      <c r="I292" s="11" t="str">
        <f t="shared" si="193"/>
        <v>34</v>
      </c>
      <c r="J292" s="11" t="str">
        <f t="shared" si="194"/>
        <v>Creditor</v>
      </c>
      <c r="K292" s="11" t="str">
        <f t="shared" si="172"/>
        <v>CS000551</v>
      </c>
      <c r="L292" s="10" t="str">
        <f t="shared" si="173"/>
        <v>Lyreco UK Ltd</v>
      </c>
      <c r="M292" s="12" t="str">
        <f t="shared" si="174"/>
        <v>25/01/2017 00:00:00</v>
      </c>
      <c r="N292" s="12">
        <v>42760</v>
      </c>
      <c r="O292" s="10" t="str">
        <f t="shared" si="175"/>
        <v>C008069</v>
      </c>
      <c r="P292" s="13">
        <v>2.64</v>
      </c>
      <c r="Q292" s="11" t="str">
        <f>"2.6400"</f>
        <v>2.6400</v>
      </c>
      <c r="R292" s="10" t="str">
        <f t="shared" si="176"/>
        <v>C0004552</v>
      </c>
      <c r="S292" s="14" t="str">
        <f t="shared" si="177"/>
        <v>2129.8300</v>
      </c>
      <c r="T292" s="10">
        <v>21747</v>
      </c>
      <c r="U292" s="10">
        <v>1444</v>
      </c>
      <c r="V292" s="10" t="str">
        <f t="shared" si="178"/>
        <v>Printing Stationery &amp; Off Supp</v>
      </c>
      <c r="W292" s="10" t="str">
        <f t="shared" si="179"/>
        <v>Supplies and Services</v>
      </c>
      <c r="X292" s="10" t="str">
        <f>VLOOKUP(U292,'[1]Account code lookup'!A:B,2,0)</f>
        <v>Stationery</v>
      </c>
      <c r="Z292" s="10" t="str">
        <f t="shared" si="195"/>
        <v>Finance and Procurement</v>
      </c>
      <c r="AA292" s="10" t="str">
        <f t="shared" si="196"/>
        <v>Chief Finance Officer</v>
      </c>
      <c r="AB292" s="10" t="str">
        <f t="shared" si="197"/>
        <v>3cfo</v>
      </c>
      <c r="AD292" s="10" t="str">
        <f t="shared" si="198"/>
        <v>cfo02</v>
      </c>
      <c r="AE292" s="10" t="str">
        <f t="shared" si="180"/>
        <v>Environmental Services / Environmental Services Admin</v>
      </c>
      <c r="AG292" s="10" t="str">
        <f t="shared" si="199"/>
        <v>21747/1444</v>
      </c>
      <c r="AI292" s="10" t="str">
        <f t="shared" si="181"/>
        <v>14suse</v>
      </c>
      <c r="AJ292" s="15" t="str">
        <f>"LYRECO UNMOUNTED LANDSCAPE YEAR PLANNER - 915 X 610MM"</f>
        <v>LYRECO UNMOUNTED LANDSCAPE YEAR PLANNER - 915 X 610MM</v>
      </c>
      <c r="AK292" s="10" t="str">
        <f t="shared" si="182"/>
        <v>Revenue</v>
      </c>
      <c r="AL292" s="10" t="str">
        <f>""</f>
        <v/>
      </c>
      <c r="AM292" s="10" t="str">
        <f>""</f>
        <v/>
      </c>
      <c r="AN292" s="10" t="str">
        <f>""</f>
        <v/>
      </c>
      <c r="AO292" s="10" t="str">
        <f>""</f>
        <v/>
      </c>
    </row>
    <row r="293" spans="1:41" s="10" customFormat="1" ht="409.6">
      <c r="A293" s="9"/>
      <c r="B293" s="9"/>
      <c r="C293" s="9"/>
      <c r="D293" s="10" t="str">
        <f>"32138"</f>
        <v>32138</v>
      </c>
      <c r="E293" s="11" t="str">
        <f>""</f>
        <v/>
      </c>
      <c r="F293" s="11" t="str">
        <f t="shared" si="190"/>
        <v>372418</v>
      </c>
      <c r="G293" s="11" t="str">
        <f t="shared" si="191"/>
        <v>2017toJAN</v>
      </c>
      <c r="H293" s="11" t="str">
        <f t="shared" si="192"/>
        <v>CRSP06B</v>
      </c>
      <c r="I293" s="11" t="str">
        <f t="shared" si="193"/>
        <v>34</v>
      </c>
      <c r="J293" s="11" t="str">
        <f t="shared" si="194"/>
        <v>Creditor</v>
      </c>
      <c r="K293" s="11" t="str">
        <f t="shared" si="172"/>
        <v>CS000551</v>
      </c>
      <c r="L293" s="10" t="str">
        <f t="shared" si="173"/>
        <v>Lyreco UK Ltd</v>
      </c>
      <c r="M293" s="12" t="str">
        <f t="shared" si="174"/>
        <v>25/01/2017 00:00:00</v>
      </c>
      <c r="N293" s="12">
        <v>42760</v>
      </c>
      <c r="O293" s="10" t="str">
        <f t="shared" si="175"/>
        <v>C008069</v>
      </c>
      <c r="P293" s="13">
        <v>4.38</v>
      </c>
      <c r="Q293" s="11" t="str">
        <f>"4.3800"</f>
        <v>4.3800</v>
      </c>
      <c r="R293" s="10" t="str">
        <f t="shared" si="176"/>
        <v>C0004552</v>
      </c>
      <c r="S293" s="14" t="str">
        <f t="shared" si="177"/>
        <v>2129.8300</v>
      </c>
      <c r="T293" s="10">
        <v>21747</v>
      </c>
      <c r="U293" s="10">
        <v>1444</v>
      </c>
      <c r="V293" s="10" t="str">
        <f t="shared" si="178"/>
        <v>Printing Stationery &amp; Off Supp</v>
      </c>
      <c r="W293" s="10" t="str">
        <f t="shared" si="179"/>
        <v>Supplies and Services</v>
      </c>
      <c r="X293" s="10" t="str">
        <f>VLOOKUP(U293,'[1]Account code lookup'!A:B,2,0)</f>
        <v>Stationery</v>
      </c>
      <c r="Z293" s="10" t="str">
        <f t="shared" si="195"/>
        <v>Finance and Procurement</v>
      </c>
      <c r="AA293" s="10" t="str">
        <f t="shared" si="196"/>
        <v>Chief Finance Officer</v>
      </c>
      <c r="AB293" s="10" t="str">
        <f t="shared" si="197"/>
        <v>3cfo</v>
      </c>
      <c r="AD293" s="10" t="str">
        <f t="shared" si="198"/>
        <v>cfo02</v>
      </c>
      <c r="AE293" s="10" t="str">
        <f t="shared" si="180"/>
        <v>Environmental Services / Environmental Services Admin</v>
      </c>
      <c r="AG293" s="10" t="str">
        <f t="shared" si="199"/>
        <v>21747/1444</v>
      </c>
      <c r="AI293" s="10" t="str">
        <f t="shared" si="181"/>
        <v>14suse</v>
      </c>
      <c r="AJ293" s="15" t="str">
        <f>"LYRECO WHITE DL SELF SEAL WINDOW ENVELOPES 90GSM - BOX OF 1000"</f>
        <v>LYRECO WHITE DL SELF SEAL WINDOW ENVELOPES 90GSM - BOX OF 1000</v>
      </c>
      <c r="AK293" s="10" t="str">
        <f t="shared" si="182"/>
        <v>Revenue</v>
      </c>
      <c r="AL293" s="10" t="str">
        <f>""</f>
        <v/>
      </c>
      <c r="AM293" s="10" t="str">
        <f>""</f>
        <v/>
      </c>
      <c r="AN293" s="10" t="str">
        <f>""</f>
        <v/>
      </c>
      <c r="AO293" s="10" t="str">
        <f>""</f>
        <v/>
      </c>
    </row>
    <row r="294" spans="1:41" s="10" customFormat="1" ht="409.6">
      <c r="A294" s="9"/>
      <c r="B294" s="9"/>
      <c r="C294" s="9"/>
      <c r="D294" s="10" t="str">
        <f>"32139"</f>
        <v>32139</v>
      </c>
      <c r="E294" s="11" t="str">
        <f>""</f>
        <v/>
      </c>
      <c r="F294" s="11" t="str">
        <f t="shared" si="190"/>
        <v>372418</v>
      </c>
      <c r="G294" s="11" t="str">
        <f t="shared" si="191"/>
        <v>2017toJAN</v>
      </c>
      <c r="H294" s="11" t="str">
        <f t="shared" si="192"/>
        <v>CRSP06B</v>
      </c>
      <c r="I294" s="11" t="str">
        <f t="shared" si="193"/>
        <v>34</v>
      </c>
      <c r="J294" s="11" t="str">
        <f t="shared" si="194"/>
        <v>Creditor</v>
      </c>
      <c r="K294" s="11" t="str">
        <f t="shared" si="172"/>
        <v>CS000551</v>
      </c>
      <c r="L294" s="10" t="str">
        <f t="shared" si="173"/>
        <v>Lyreco UK Ltd</v>
      </c>
      <c r="M294" s="12" t="str">
        <f t="shared" si="174"/>
        <v>25/01/2017 00:00:00</v>
      </c>
      <c r="N294" s="12">
        <v>42760</v>
      </c>
      <c r="O294" s="10" t="str">
        <f t="shared" si="175"/>
        <v>C008069</v>
      </c>
      <c r="P294" s="13">
        <v>7.54</v>
      </c>
      <c r="Q294" s="11" t="str">
        <f>"7.5400"</f>
        <v>7.5400</v>
      </c>
      <c r="R294" s="10" t="str">
        <f t="shared" si="176"/>
        <v>C0004552</v>
      </c>
      <c r="S294" s="14" t="str">
        <f t="shared" si="177"/>
        <v>2129.8300</v>
      </c>
      <c r="T294" s="10">
        <v>21754</v>
      </c>
      <c r="U294" s="10">
        <v>1444</v>
      </c>
      <c r="V294" s="10" t="str">
        <f t="shared" si="178"/>
        <v>Printing Stationery &amp; Off Supp</v>
      </c>
      <c r="W294" s="10" t="str">
        <f t="shared" si="179"/>
        <v>Supplies and Services</v>
      </c>
      <c r="X294" s="10" t="str">
        <f>VLOOKUP(U294,'[1]Account code lookup'!A:B,2,0)</f>
        <v>Stationery</v>
      </c>
      <c r="Z294" s="10" t="str">
        <f t="shared" ref="Z294:Z301" si="200">"Law and Governance"</f>
        <v>Law and Governance</v>
      </c>
      <c r="AA294" s="10" t="str">
        <f t="shared" ref="AA294:AA305" si="201">"Strategy and Commissioning"</f>
        <v>Strategy and Commissioning</v>
      </c>
      <c r="AB294" s="10" t="str">
        <f t="shared" ref="AB294:AB305" si="202">"4sac"</f>
        <v>4sac</v>
      </c>
      <c r="AD294" s="10" t="str">
        <f t="shared" ref="AD294:AD301" si="203">"sac07"</f>
        <v>sac07</v>
      </c>
      <c r="AE294" s="10" t="str">
        <f t="shared" si="180"/>
        <v>Environmental Services / Environmental Services Admin</v>
      </c>
      <c r="AG294" s="10" t="str">
        <f t="shared" ref="AG294:AG301" si="204">"21754/1444"</f>
        <v>21754/1444</v>
      </c>
      <c r="AI294" s="10" t="str">
        <f t="shared" si="181"/>
        <v>14suse</v>
      </c>
      <c r="AJ294" s="15" t="str">
        <f>"3M 680 POST-IT INDEX SIGN HERE 25 X 44 MM"</f>
        <v>3M 680 POST-IT INDEX SIGN HERE 25 X 44 MM</v>
      </c>
      <c r="AK294" s="10" t="str">
        <f t="shared" si="182"/>
        <v>Revenue</v>
      </c>
      <c r="AL294" s="10" t="str">
        <f>""</f>
        <v/>
      </c>
      <c r="AM294" s="10" t="str">
        <f>""</f>
        <v/>
      </c>
      <c r="AN294" s="10" t="str">
        <f>""</f>
        <v/>
      </c>
      <c r="AO294" s="10" t="str">
        <f>""</f>
        <v/>
      </c>
    </row>
    <row r="295" spans="1:41" s="10" customFormat="1" ht="409.6">
      <c r="A295" s="9"/>
      <c r="B295" s="9"/>
      <c r="C295" s="9"/>
      <c r="D295" s="10" t="str">
        <f>"32140"</f>
        <v>32140</v>
      </c>
      <c r="E295" s="11" t="str">
        <f>""</f>
        <v/>
      </c>
      <c r="F295" s="11" t="str">
        <f t="shared" si="190"/>
        <v>372418</v>
      </c>
      <c r="G295" s="11" t="str">
        <f t="shared" si="191"/>
        <v>2017toJAN</v>
      </c>
      <c r="H295" s="11" t="str">
        <f t="shared" si="192"/>
        <v>CRSP06B</v>
      </c>
      <c r="I295" s="11" t="str">
        <f t="shared" si="193"/>
        <v>34</v>
      </c>
      <c r="J295" s="11" t="str">
        <f t="shared" si="194"/>
        <v>Creditor</v>
      </c>
      <c r="K295" s="11" t="str">
        <f t="shared" si="172"/>
        <v>CS000551</v>
      </c>
      <c r="L295" s="10" t="str">
        <f t="shared" si="173"/>
        <v>Lyreco UK Ltd</v>
      </c>
      <c r="M295" s="12" t="str">
        <f t="shared" si="174"/>
        <v>25/01/2017 00:00:00</v>
      </c>
      <c r="N295" s="12">
        <v>42760</v>
      </c>
      <c r="O295" s="10" t="str">
        <f t="shared" si="175"/>
        <v>C008069</v>
      </c>
      <c r="P295" s="13">
        <v>4.78</v>
      </c>
      <c r="Q295" s="11" t="str">
        <f>"4.7800"</f>
        <v>4.7800</v>
      </c>
      <c r="R295" s="10" t="str">
        <f t="shared" si="176"/>
        <v>C0004552</v>
      </c>
      <c r="S295" s="14" t="str">
        <f t="shared" si="177"/>
        <v>2129.8300</v>
      </c>
      <c r="T295" s="10">
        <v>21754</v>
      </c>
      <c r="U295" s="10">
        <v>1444</v>
      </c>
      <c r="V295" s="10" t="str">
        <f t="shared" si="178"/>
        <v>Printing Stationery &amp; Off Supp</v>
      </c>
      <c r="W295" s="10" t="str">
        <f t="shared" si="179"/>
        <v>Supplies and Services</v>
      </c>
      <c r="X295" s="10" t="str">
        <f>VLOOKUP(U295,'[1]Account code lookup'!A:B,2,0)</f>
        <v>Stationery</v>
      </c>
      <c r="Z295" s="10" t="str">
        <f t="shared" si="200"/>
        <v>Law and Governance</v>
      </c>
      <c r="AA295" s="10" t="str">
        <f t="shared" si="201"/>
        <v>Strategy and Commissioning</v>
      </c>
      <c r="AB295" s="10" t="str">
        <f t="shared" si="202"/>
        <v>4sac</v>
      </c>
      <c r="AD295" s="10" t="str">
        <f t="shared" si="203"/>
        <v>sac07</v>
      </c>
      <c r="AE295" s="10" t="str">
        <f t="shared" si="180"/>
        <v>Environmental Services / Environmental Services Admin</v>
      </c>
      <c r="AG295" s="10" t="str">
        <f t="shared" si="204"/>
        <v>21754/1444</v>
      </c>
      <c r="AI295" s="10" t="str">
        <f t="shared" si="181"/>
        <v>14suse</v>
      </c>
      <c r="AJ295" s="15" t="str">
        <f>"DAILY BLOCK CALENDAR"</f>
        <v>DAILY BLOCK CALENDAR</v>
      </c>
      <c r="AK295" s="10" t="str">
        <f t="shared" si="182"/>
        <v>Revenue</v>
      </c>
      <c r="AL295" s="10" t="str">
        <f>""</f>
        <v/>
      </c>
      <c r="AM295" s="10" t="str">
        <f>""</f>
        <v/>
      </c>
      <c r="AN295" s="10" t="str">
        <f>""</f>
        <v/>
      </c>
      <c r="AO295" s="10" t="str">
        <f>""</f>
        <v/>
      </c>
    </row>
    <row r="296" spans="1:41" s="10" customFormat="1" ht="409.6">
      <c r="A296" s="9"/>
      <c r="B296" s="9"/>
      <c r="C296" s="9"/>
      <c r="D296" s="10" t="str">
        <f>"32141"</f>
        <v>32141</v>
      </c>
      <c r="E296" s="11" t="str">
        <f>""</f>
        <v/>
      </c>
      <c r="F296" s="11" t="str">
        <f t="shared" si="190"/>
        <v>372418</v>
      </c>
      <c r="G296" s="11" t="str">
        <f t="shared" si="191"/>
        <v>2017toJAN</v>
      </c>
      <c r="H296" s="11" t="str">
        <f t="shared" si="192"/>
        <v>CRSP06B</v>
      </c>
      <c r="I296" s="11" t="str">
        <f t="shared" si="193"/>
        <v>34</v>
      </c>
      <c r="J296" s="11" t="str">
        <f t="shared" si="194"/>
        <v>Creditor</v>
      </c>
      <c r="K296" s="11" t="str">
        <f t="shared" si="172"/>
        <v>CS000551</v>
      </c>
      <c r="L296" s="10" t="str">
        <f t="shared" si="173"/>
        <v>Lyreco UK Ltd</v>
      </c>
      <c r="M296" s="12" t="str">
        <f t="shared" si="174"/>
        <v>25/01/2017 00:00:00</v>
      </c>
      <c r="N296" s="12">
        <v>42760</v>
      </c>
      <c r="O296" s="10" t="str">
        <f t="shared" si="175"/>
        <v>C008069</v>
      </c>
      <c r="P296" s="13">
        <v>12.6</v>
      </c>
      <c r="Q296" s="11" t="str">
        <f>"12.6000"</f>
        <v>12.6000</v>
      </c>
      <c r="R296" s="10" t="str">
        <f t="shared" si="176"/>
        <v>C0004552</v>
      </c>
      <c r="S296" s="14" t="str">
        <f t="shared" si="177"/>
        <v>2129.8300</v>
      </c>
      <c r="T296" s="10">
        <v>21754</v>
      </c>
      <c r="U296" s="10">
        <v>1444</v>
      </c>
      <c r="V296" s="10" t="str">
        <f t="shared" si="178"/>
        <v>Printing Stationery &amp; Off Supp</v>
      </c>
      <c r="W296" s="10" t="str">
        <f t="shared" si="179"/>
        <v>Supplies and Services</v>
      </c>
      <c r="X296" s="10" t="str">
        <f>VLOOKUP(U296,'[1]Account code lookup'!A:B,2,0)</f>
        <v>Stationery</v>
      </c>
      <c r="Z296" s="10" t="str">
        <f t="shared" si="200"/>
        <v>Law and Governance</v>
      </c>
      <c r="AA296" s="10" t="str">
        <f t="shared" si="201"/>
        <v>Strategy and Commissioning</v>
      </c>
      <c r="AB296" s="10" t="str">
        <f t="shared" si="202"/>
        <v>4sac</v>
      </c>
      <c r="AD296" s="10" t="str">
        <f t="shared" si="203"/>
        <v>sac07</v>
      </c>
      <c r="AE296" s="10" t="str">
        <f t="shared" si="180"/>
        <v>Environmental Services / Environmental Services Admin</v>
      </c>
      <c r="AG296" s="10" t="str">
        <f t="shared" si="204"/>
        <v>21754/1444</v>
      </c>
      <c r="AI296" s="10" t="str">
        <f t="shared" si="181"/>
        <v>14suse</v>
      </c>
      <c r="AJ296" s="15" t="str">
        <f>"LYRECO DESK/WALL CALENDAR 260 X 210MM - YEAR TO VIEW"</f>
        <v>LYRECO DESK/WALL CALENDAR 260 X 210MM - YEAR TO VIEW</v>
      </c>
      <c r="AK296" s="10" t="str">
        <f t="shared" si="182"/>
        <v>Revenue</v>
      </c>
      <c r="AL296" s="10" t="str">
        <f>""</f>
        <v/>
      </c>
      <c r="AM296" s="10" t="str">
        <f>""</f>
        <v/>
      </c>
      <c r="AN296" s="10" t="str">
        <f>""</f>
        <v/>
      </c>
      <c r="AO296" s="10" t="str">
        <f>""</f>
        <v/>
      </c>
    </row>
    <row r="297" spans="1:41" s="10" customFormat="1" ht="409.6">
      <c r="A297" s="9"/>
      <c r="B297" s="9"/>
      <c r="C297" s="9"/>
      <c r="D297" s="10" t="str">
        <f>"32142"</f>
        <v>32142</v>
      </c>
      <c r="E297" s="11" t="str">
        <f>""</f>
        <v/>
      </c>
      <c r="F297" s="11" t="str">
        <f t="shared" si="190"/>
        <v>372418</v>
      </c>
      <c r="G297" s="11" t="str">
        <f t="shared" si="191"/>
        <v>2017toJAN</v>
      </c>
      <c r="H297" s="11" t="str">
        <f t="shared" si="192"/>
        <v>CRSP06B</v>
      </c>
      <c r="I297" s="11" t="str">
        <f t="shared" si="193"/>
        <v>34</v>
      </c>
      <c r="J297" s="11" t="str">
        <f t="shared" si="194"/>
        <v>Creditor</v>
      </c>
      <c r="K297" s="11" t="str">
        <f t="shared" si="172"/>
        <v>CS000551</v>
      </c>
      <c r="L297" s="10" t="str">
        <f t="shared" si="173"/>
        <v>Lyreco UK Ltd</v>
      </c>
      <c r="M297" s="12" t="str">
        <f t="shared" si="174"/>
        <v>25/01/2017 00:00:00</v>
      </c>
      <c r="N297" s="12">
        <v>42760</v>
      </c>
      <c r="O297" s="10" t="str">
        <f t="shared" si="175"/>
        <v>C008069</v>
      </c>
      <c r="P297" s="13">
        <v>0.78</v>
      </c>
      <c r="Q297" s="11" t="str">
        <f>"0.7800"</f>
        <v>0.7800</v>
      </c>
      <c r="R297" s="10" t="str">
        <f t="shared" si="176"/>
        <v>C0004552</v>
      </c>
      <c r="S297" s="14" t="str">
        <f t="shared" si="177"/>
        <v>2129.8300</v>
      </c>
      <c r="T297" s="10">
        <v>21754</v>
      </c>
      <c r="U297" s="10">
        <v>1444</v>
      </c>
      <c r="V297" s="10" t="str">
        <f t="shared" si="178"/>
        <v>Printing Stationery &amp; Off Supp</v>
      </c>
      <c r="W297" s="10" t="str">
        <f t="shared" si="179"/>
        <v>Supplies and Services</v>
      </c>
      <c r="X297" s="10" t="str">
        <f>VLOOKUP(U297,'[1]Account code lookup'!A:B,2,0)</f>
        <v>Stationery</v>
      </c>
      <c r="Z297" s="10" t="str">
        <f t="shared" si="200"/>
        <v>Law and Governance</v>
      </c>
      <c r="AA297" s="10" t="str">
        <f t="shared" si="201"/>
        <v>Strategy and Commissioning</v>
      </c>
      <c r="AB297" s="10" t="str">
        <f t="shared" si="202"/>
        <v>4sac</v>
      </c>
      <c r="AD297" s="10" t="str">
        <f t="shared" si="203"/>
        <v>sac07</v>
      </c>
      <c r="AE297" s="10" t="str">
        <f t="shared" si="180"/>
        <v>Environmental Services / Environmental Services Admin</v>
      </c>
      <c r="AG297" s="10" t="str">
        <f t="shared" si="204"/>
        <v>21754/1444</v>
      </c>
      <c r="AI297" s="10" t="str">
        <f t="shared" si="181"/>
        <v>14suse</v>
      </c>
      <c r="AJ297" s="15" t="str">
        <f>"LYRECO FILM INDEX - 4 ASSORTED COLOURS"</f>
        <v>LYRECO FILM INDEX - 4 ASSORTED COLOURS</v>
      </c>
      <c r="AK297" s="10" t="str">
        <f t="shared" si="182"/>
        <v>Revenue</v>
      </c>
      <c r="AL297" s="10" t="str">
        <f>""</f>
        <v/>
      </c>
      <c r="AM297" s="10" t="str">
        <f>""</f>
        <v/>
      </c>
      <c r="AN297" s="10" t="str">
        <f>""</f>
        <v/>
      </c>
      <c r="AO297" s="10" t="str">
        <f>""</f>
        <v/>
      </c>
    </row>
    <row r="298" spans="1:41" s="10" customFormat="1" ht="409.6">
      <c r="A298" s="9"/>
      <c r="B298" s="9"/>
      <c r="C298" s="9"/>
      <c r="D298" s="10" t="str">
        <f>"32143"</f>
        <v>32143</v>
      </c>
      <c r="E298" s="11" t="str">
        <f>""</f>
        <v/>
      </c>
      <c r="F298" s="11" t="str">
        <f t="shared" si="190"/>
        <v>372418</v>
      </c>
      <c r="G298" s="11" t="str">
        <f t="shared" si="191"/>
        <v>2017toJAN</v>
      </c>
      <c r="H298" s="11" t="str">
        <f t="shared" si="192"/>
        <v>CRSP06B</v>
      </c>
      <c r="I298" s="11" t="str">
        <f t="shared" si="193"/>
        <v>34</v>
      </c>
      <c r="J298" s="11" t="str">
        <f t="shared" si="194"/>
        <v>Creditor</v>
      </c>
      <c r="K298" s="11" t="str">
        <f t="shared" si="172"/>
        <v>CS000551</v>
      </c>
      <c r="L298" s="10" t="str">
        <f t="shared" si="173"/>
        <v>Lyreco UK Ltd</v>
      </c>
      <c r="M298" s="12" t="str">
        <f t="shared" si="174"/>
        <v>25/01/2017 00:00:00</v>
      </c>
      <c r="N298" s="12">
        <v>42760</v>
      </c>
      <c r="O298" s="10" t="str">
        <f t="shared" si="175"/>
        <v>C008069</v>
      </c>
      <c r="P298" s="13">
        <v>0.72</v>
      </c>
      <c r="Q298" s="11" t="str">
        <f>"0.7200"</f>
        <v>0.7200</v>
      </c>
      <c r="R298" s="10" t="str">
        <f t="shared" si="176"/>
        <v>C0004552</v>
      </c>
      <c r="S298" s="14" t="str">
        <f t="shared" si="177"/>
        <v>2129.8300</v>
      </c>
      <c r="T298" s="10">
        <v>21754</v>
      </c>
      <c r="U298" s="10">
        <v>1444</v>
      </c>
      <c r="V298" s="10" t="str">
        <f t="shared" si="178"/>
        <v>Printing Stationery &amp; Off Supp</v>
      </c>
      <c r="W298" s="10" t="str">
        <f t="shared" si="179"/>
        <v>Supplies and Services</v>
      </c>
      <c r="X298" s="10" t="str">
        <f>VLOOKUP(U298,'[1]Account code lookup'!A:B,2,0)</f>
        <v>Stationery</v>
      </c>
      <c r="Z298" s="10" t="str">
        <f t="shared" si="200"/>
        <v>Law and Governance</v>
      </c>
      <c r="AA298" s="10" t="str">
        <f t="shared" si="201"/>
        <v>Strategy and Commissioning</v>
      </c>
      <c r="AB298" s="10" t="str">
        <f t="shared" si="202"/>
        <v>4sac</v>
      </c>
      <c r="AD298" s="10" t="str">
        <f t="shared" si="203"/>
        <v>sac07</v>
      </c>
      <c r="AE298" s="10" t="str">
        <f t="shared" si="180"/>
        <v>Environmental Services / Environmental Services Admin</v>
      </c>
      <c r="AG298" s="10" t="str">
        <f t="shared" si="204"/>
        <v>21754/1444</v>
      </c>
      <c r="AI298" s="10" t="str">
        <f t="shared" si="181"/>
        <v>14suse</v>
      </c>
      <c r="AJ298" s="15" t="str">
        <f>"LYRECO PLAIN YELLOW STICKY NOTES 125 X 75MM - PACK OF 12 PADS"</f>
        <v>LYRECO PLAIN YELLOW STICKY NOTES 125 X 75MM - PACK OF 12 PADS</v>
      </c>
      <c r="AK298" s="10" t="str">
        <f t="shared" si="182"/>
        <v>Revenue</v>
      </c>
      <c r="AL298" s="10" t="str">
        <f>""</f>
        <v/>
      </c>
      <c r="AM298" s="10" t="str">
        <f>""</f>
        <v/>
      </c>
      <c r="AN298" s="10" t="str">
        <f>""</f>
        <v/>
      </c>
      <c r="AO298" s="10" t="str">
        <f>""</f>
        <v/>
      </c>
    </row>
    <row r="299" spans="1:41" s="10" customFormat="1" ht="409.6">
      <c r="A299" s="9"/>
      <c r="B299" s="9"/>
      <c r="C299" s="9"/>
      <c r="D299" s="10" t="str">
        <f>"32144"</f>
        <v>32144</v>
      </c>
      <c r="E299" s="11" t="str">
        <f>""</f>
        <v/>
      </c>
      <c r="F299" s="11" t="str">
        <f t="shared" si="190"/>
        <v>372418</v>
      </c>
      <c r="G299" s="11" t="str">
        <f t="shared" si="191"/>
        <v>2017toJAN</v>
      </c>
      <c r="H299" s="11" t="str">
        <f t="shared" si="192"/>
        <v>CRSP06B</v>
      </c>
      <c r="I299" s="11" t="str">
        <f t="shared" si="193"/>
        <v>34</v>
      </c>
      <c r="J299" s="11" t="str">
        <f t="shared" si="194"/>
        <v>Creditor</v>
      </c>
      <c r="K299" s="11" t="str">
        <f t="shared" si="172"/>
        <v>CS000551</v>
      </c>
      <c r="L299" s="10" t="str">
        <f t="shared" si="173"/>
        <v>Lyreco UK Ltd</v>
      </c>
      <c r="M299" s="12" t="str">
        <f t="shared" si="174"/>
        <v>25/01/2017 00:00:00</v>
      </c>
      <c r="N299" s="12">
        <v>42760</v>
      </c>
      <c r="O299" s="10" t="str">
        <f t="shared" si="175"/>
        <v>C008069</v>
      </c>
      <c r="P299" s="13">
        <v>0.96</v>
      </c>
      <c r="Q299" s="11" t="str">
        <f>"0.9600"</f>
        <v>0.9600</v>
      </c>
      <c r="R299" s="10" t="str">
        <f t="shared" si="176"/>
        <v>C0004552</v>
      </c>
      <c r="S299" s="14" t="str">
        <f t="shared" si="177"/>
        <v>2129.8300</v>
      </c>
      <c r="T299" s="10">
        <v>21754</v>
      </c>
      <c r="U299" s="10">
        <v>1444</v>
      </c>
      <c r="V299" s="10" t="str">
        <f t="shared" si="178"/>
        <v>Printing Stationery &amp; Off Supp</v>
      </c>
      <c r="W299" s="10" t="str">
        <f t="shared" si="179"/>
        <v>Supplies and Services</v>
      </c>
      <c r="X299" s="10" t="str">
        <f>VLOOKUP(U299,'[1]Account code lookup'!A:B,2,0)</f>
        <v>Stationery</v>
      </c>
      <c r="Z299" s="10" t="str">
        <f t="shared" si="200"/>
        <v>Law and Governance</v>
      </c>
      <c r="AA299" s="10" t="str">
        <f t="shared" si="201"/>
        <v>Strategy and Commissioning</v>
      </c>
      <c r="AB299" s="10" t="str">
        <f t="shared" si="202"/>
        <v>4sac</v>
      </c>
      <c r="AD299" s="10" t="str">
        <f t="shared" si="203"/>
        <v>sac07</v>
      </c>
      <c r="AE299" s="10" t="str">
        <f t="shared" si="180"/>
        <v>Environmental Services / Environmental Services Admin</v>
      </c>
      <c r="AG299" s="10" t="str">
        <f t="shared" si="204"/>
        <v>21754/1444</v>
      </c>
      <c r="AI299" s="10" t="str">
        <f t="shared" si="181"/>
        <v>14suse</v>
      </c>
      <c r="AJ299" s="15" t="str">
        <f>"LYRECO SOFT RETRACTABLE BALL POINT BLACK PENS 0.7MM LINE WIDTH - BOX OF 12"</f>
        <v>LYRECO SOFT RETRACTABLE BALL POINT BLACK PENS 0.7MM LINE WIDTH - BOX OF 12</v>
      </c>
      <c r="AK299" s="10" t="str">
        <f t="shared" si="182"/>
        <v>Revenue</v>
      </c>
      <c r="AL299" s="10" t="str">
        <f>""</f>
        <v/>
      </c>
      <c r="AM299" s="10" t="str">
        <f>""</f>
        <v/>
      </c>
      <c r="AN299" s="10" t="str">
        <f>""</f>
        <v/>
      </c>
      <c r="AO299" s="10" t="str">
        <f>""</f>
        <v/>
      </c>
    </row>
    <row r="300" spans="1:41" s="10" customFormat="1" ht="409.6">
      <c r="A300" s="9"/>
      <c r="B300" s="9"/>
      <c r="C300" s="9"/>
      <c r="D300" s="10" t="str">
        <f>"32219"</f>
        <v>32219</v>
      </c>
      <c r="E300" s="11" t="str">
        <f>""</f>
        <v/>
      </c>
      <c r="F300" s="11" t="str">
        <f t="shared" si="190"/>
        <v>372418</v>
      </c>
      <c r="G300" s="11" t="str">
        <f t="shared" si="191"/>
        <v>2017toJAN</v>
      </c>
      <c r="H300" s="11" t="str">
        <f t="shared" si="192"/>
        <v>CRSP06B</v>
      </c>
      <c r="I300" s="11" t="str">
        <f t="shared" si="193"/>
        <v>34</v>
      </c>
      <c r="J300" s="11" t="str">
        <f t="shared" si="194"/>
        <v>Creditor</v>
      </c>
      <c r="K300" s="11" t="str">
        <f t="shared" si="172"/>
        <v>CS000551</v>
      </c>
      <c r="L300" s="10" t="str">
        <f t="shared" si="173"/>
        <v>Lyreco UK Ltd</v>
      </c>
      <c r="M300" s="12" t="str">
        <f t="shared" si="174"/>
        <v>25/01/2017 00:00:00</v>
      </c>
      <c r="N300" s="12">
        <v>42760</v>
      </c>
      <c r="O300" s="10" t="str">
        <f t="shared" si="175"/>
        <v>C008069</v>
      </c>
      <c r="P300" s="13">
        <v>2.39</v>
      </c>
      <c r="Q300" s="11" t="str">
        <f>"2.3900"</f>
        <v>2.3900</v>
      </c>
      <c r="R300" s="10" t="str">
        <f t="shared" si="176"/>
        <v>C0004552</v>
      </c>
      <c r="S300" s="14" t="str">
        <f t="shared" si="177"/>
        <v>2129.8300</v>
      </c>
      <c r="T300" s="10">
        <v>21754</v>
      </c>
      <c r="U300" s="10">
        <v>1444</v>
      </c>
      <c r="V300" s="10" t="str">
        <f t="shared" si="178"/>
        <v>Printing Stationery &amp; Off Supp</v>
      </c>
      <c r="W300" s="10" t="str">
        <f t="shared" si="179"/>
        <v>Supplies and Services</v>
      </c>
      <c r="X300" s="10" t="str">
        <f>VLOOKUP(U300,'[1]Account code lookup'!A:B,2,0)</f>
        <v>Stationery</v>
      </c>
      <c r="Z300" s="10" t="str">
        <f t="shared" si="200"/>
        <v>Law and Governance</v>
      </c>
      <c r="AA300" s="10" t="str">
        <f t="shared" si="201"/>
        <v>Strategy and Commissioning</v>
      </c>
      <c r="AB300" s="10" t="str">
        <f t="shared" si="202"/>
        <v>4sac</v>
      </c>
      <c r="AD300" s="10" t="str">
        <f t="shared" si="203"/>
        <v>sac07</v>
      </c>
      <c r="AE300" s="10" t="str">
        <f t="shared" si="180"/>
        <v>Environmental Services / Environmental Services Admin</v>
      </c>
      <c r="AG300" s="10" t="str">
        <f t="shared" si="204"/>
        <v>21754/1444</v>
      </c>
      <c r="AI300" s="10" t="str">
        <f t="shared" si="181"/>
        <v>14suse</v>
      </c>
      <c r="AJ300" s="15" t="str">
        <f>"PERSPEX CLIP FRAME A4"</f>
        <v>PERSPEX CLIP FRAME A4</v>
      </c>
      <c r="AK300" s="10" t="str">
        <f t="shared" si="182"/>
        <v>Revenue</v>
      </c>
      <c r="AL300" s="10" t="str">
        <f>""</f>
        <v/>
      </c>
      <c r="AM300" s="10" t="str">
        <f>""</f>
        <v/>
      </c>
      <c r="AN300" s="10" t="str">
        <f>""</f>
        <v/>
      </c>
      <c r="AO300" s="10" t="str">
        <f>""</f>
        <v/>
      </c>
    </row>
    <row r="301" spans="1:41" s="10" customFormat="1" ht="409.6">
      <c r="A301" s="9"/>
      <c r="B301" s="9"/>
      <c r="C301" s="9"/>
      <c r="D301" s="10" t="str">
        <f>"32491"</f>
        <v>32491</v>
      </c>
      <c r="E301" s="11" t="str">
        <f>""</f>
        <v/>
      </c>
      <c r="F301" s="11" t="str">
        <f t="shared" si="190"/>
        <v>372418</v>
      </c>
      <c r="G301" s="11" t="str">
        <f t="shared" si="191"/>
        <v>2017toJAN</v>
      </c>
      <c r="H301" s="11" t="str">
        <f t="shared" si="192"/>
        <v>CRSP06B</v>
      </c>
      <c r="I301" s="11" t="str">
        <f t="shared" si="193"/>
        <v>34</v>
      </c>
      <c r="J301" s="11" t="str">
        <f t="shared" si="194"/>
        <v>Creditor</v>
      </c>
      <c r="K301" s="11" t="str">
        <f t="shared" si="172"/>
        <v>CS000551</v>
      </c>
      <c r="L301" s="10" t="str">
        <f t="shared" si="173"/>
        <v>Lyreco UK Ltd</v>
      </c>
      <c r="M301" s="12" t="str">
        <f t="shared" si="174"/>
        <v>25/01/2017 00:00:00</v>
      </c>
      <c r="N301" s="12">
        <v>42760</v>
      </c>
      <c r="O301" s="10" t="str">
        <f t="shared" si="175"/>
        <v>C008069</v>
      </c>
      <c r="P301" s="13">
        <v>0.11</v>
      </c>
      <c r="Q301" s="11" t="str">
        <f>"0.1100"</f>
        <v>0.1100</v>
      </c>
      <c r="R301" s="10" t="str">
        <f t="shared" si="176"/>
        <v>C0004552</v>
      </c>
      <c r="S301" s="14" t="str">
        <f t="shared" si="177"/>
        <v>2129.8300</v>
      </c>
      <c r="T301" s="10">
        <v>21754</v>
      </c>
      <c r="U301" s="10">
        <v>1444</v>
      </c>
      <c r="V301" s="10" t="str">
        <f t="shared" si="178"/>
        <v>Printing Stationery &amp; Off Supp</v>
      </c>
      <c r="W301" s="10" t="str">
        <f t="shared" si="179"/>
        <v>Supplies and Services</v>
      </c>
      <c r="X301" s="10" t="str">
        <f>VLOOKUP(U301,'[1]Account code lookup'!A:B,2,0)</f>
        <v>Stationery</v>
      </c>
      <c r="Z301" s="10" t="str">
        <f t="shared" si="200"/>
        <v>Law and Governance</v>
      </c>
      <c r="AA301" s="10" t="str">
        <f t="shared" si="201"/>
        <v>Strategy and Commissioning</v>
      </c>
      <c r="AB301" s="10" t="str">
        <f t="shared" si="202"/>
        <v>4sac</v>
      </c>
      <c r="AD301" s="10" t="str">
        <f t="shared" si="203"/>
        <v>sac07</v>
      </c>
      <c r="AE301" s="10" t="str">
        <f t="shared" si="180"/>
        <v>Environmental Services / Environmental Services Admin</v>
      </c>
      <c r="AG301" s="10" t="str">
        <f t="shared" si="204"/>
        <v>21754/1444</v>
      </c>
      <c r="AI301" s="10" t="str">
        <f t="shared" si="181"/>
        <v>14suse</v>
      </c>
      <c r="AJ301" s="15" t="str">
        <f>"SHATTERPROOF RULER 30CM / 12 INCHES CLEAR"</f>
        <v>SHATTERPROOF RULER 30CM / 12 INCHES CLEAR</v>
      </c>
      <c r="AK301" s="10" t="str">
        <f t="shared" si="182"/>
        <v>Revenue</v>
      </c>
      <c r="AL301" s="10" t="str">
        <f>""</f>
        <v/>
      </c>
      <c r="AM301" s="10" t="str">
        <f>""</f>
        <v/>
      </c>
      <c r="AN301" s="10" t="str">
        <f>""</f>
        <v/>
      </c>
      <c r="AO301" s="10" t="str">
        <f>""</f>
        <v/>
      </c>
    </row>
    <row r="302" spans="1:41" s="10" customFormat="1" ht="409.6">
      <c r="A302" s="9"/>
      <c r="B302" s="9"/>
      <c r="C302" s="9"/>
      <c r="D302" s="10" t="str">
        <f>"32492"</f>
        <v>32492</v>
      </c>
      <c r="E302" s="11" t="str">
        <f>""</f>
        <v/>
      </c>
      <c r="F302" s="11" t="str">
        <f t="shared" si="190"/>
        <v>372418</v>
      </c>
      <c r="G302" s="11" t="str">
        <f t="shared" si="191"/>
        <v>2017toJAN</v>
      </c>
      <c r="H302" s="11" t="str">
        <f t="shared" si="192"/>
        <v>CRSP06B</v>
      </c>
      <c r="I302" s="11" t="str">
        <f t="shared" si="193"/>
        <v>34</v>
      </c>
      <c r="J302" s="11" t="str">
        <f t="shared" si="194"/>
        <v>Creditor</v>
      </c>
      <c r="K302" s="11" t="str">
        <f t="shared" si="172"/>
        <v>CS000551</v>
      </c>
      <c r="L302" s="10" t="str">
        <f t="shared" si="173"/>
        <v>Lyreco UK Ltd</v>
      </c>
      <c r="M302" s="12" t="str">
        <f t="shared" si="174"/>
        <v>25/01/2017 00:00:00</v>
      </c>
      <c r="N302" s="12">
        <v>42760</v>
      </c>
      <c r="O302" s="10" t="str">
        <f t="shared" si="175"/>
        <v>C008069</v>
      </c>
      <c r="P302" s="13">
        <v>2.96</v>
      </c>
      <c r="Q302" s="11" t="str">
        <f>"2.9600"</f>
        <v>2.9600</v>
      </c>
      <c r="R302" s="10" t="str">
        <f t="shared" si="176"/>
        <v>C0004552</v>
      </c>
      <c r="S302" s="14" t="str">
        <f t="shared" si="177"/>
        <v>2129.8300</v>
      </c>
      <c r="T302" s="10">
        <v>22107</v>
      </c>
      <c r="U302" s="10">
        <v>1444</v>
      </c>
      <c r="V302" s="10" t="str">
        <f t="shared" si="178"/>
        <v>Printing Stationery &amp; Off Supp</v>
      </c>
      <c r="W302" s="10" t="str">
        <f t="shared" si="179"/>
        <v>Supplies and Services</v>
      </c>
      <c r="X302" s="10" t="str">
        <f>VLOOKUP(U302,'[1]Account code lookup'!A:B,2,0)</f>
        <v>Stationery</v>
      </c>
      <c r="Z302" s="10" t="str">
        <f>"Communications and Corporate P"</f>
        <v>Communications and Corporate P</v>
      </c>
      <c r="AA302" s="10" t="str">
        <f t="shared" si="201"/>
        <v>Strategy and Commissioning</v>
      </c>
      <c r="AB302" s="10" t="str">
        <f t="shared" si="202"/>
        <v>4sac</v>
      </c>
      <c r="AD302" s="10" t="str">
        <f>"sac03"</f>
        <v>sac03</v>
      </c>
      <c r="AE302" s="10" t="str">
        <f t="shared" si="180"/>
        <v>Environmental Services / Environmental Services Admin</v>
      </c>
      <c r="AG302" s="10" t="str">
        <f>"22107/1444"</f>
        <v>22107/1444</v>
      </c>
      <c r="AI302" s="10" t="str">
        <f t="shared" si="181"/>
        <v>14suse</v>
      </c>
      <c r="AJ302" s="15" t="str">
        <f>"LYRECO `THINGS TO DO TODAY` BOOK FOR 6 WORKING MONTHS"</f>
        <v>LYRECO `THINGS TO DO TODAY` BOOK FOR 6 WORKING MONTHS</v>
      </c>
      <c r="AK302" s="10" t="str">
        <f t="shared" si="182"/>
        <v>Revenue</v>
      </c>
      <c r="AL302" s="10" t="str">
        <f>""</f>
        <v/>
      </c>
      <c r="AM302" s="10" t="str">
        <f>""</f>
        <v/>
      </c>
      <c r="AN302" s="10" t="str">
        <f>""</f>
        <v/>
      </c>
      <c r="AO302" s="10" t="str">
        <f>""</f>
        <v/>
      </c>
    </row>
    <row r="303" spans="1:41" s="10" customFormat="1" ht="409.6">
      <c r="A303" s="9"/>
      <c r="B303" s="9"/>
      <c r="C303" s="9"/>
      <c r="D303" s="10" t="str">
        <f>"32493"</f>
        <v>32493</v>
      </c>
      <c r="E303" s="11" t="str">
        <f>""</f>
        <v/>
      </c>
      <c r="F303" s="11" t="str">
        <f t="shared" si="190"/>
        <v>372418</v>
      </c>
      <c r="G303" s="11" t="str">
        <f t="shared" si="191"/>
        <v>2017toJAN</v>
      </c>
      <c r="H303" s="11" t="str">
        <f t="shared" si="192"/>
        <v>CRSP06B</v>
      </c>
      <c r="I303" s="11" t="str">
        <f t="shared" si="193"/>
        <v>34</v>
      </c>
      <c r="J303" s="11" t="str">
        <f t="shared" si="194"/>
        <v>Creditor</v>
      </c>
      <c r="K303" s="11" t="str">
        <f t="shared" si="172"/>
        <v>CS000551</v>
      </c>
      <c r="L303" s="10" t="str">
        <f t="shared" si="173"/>
        <v>Lyreco UK Ltd</v>
      </c>
      <c r="M303" s="12" t="str">
        <f t="shared" si="174"/>
        <v>25/01/2017 00:00:00</v>
      </c>
      <c r="N303" s="12">
        <v>42760</v>
      </c>
      <c r="O303" s="10" t="str">
        <f t="shared" si="175"/>
        <v>C008069</v>
      </c>
      <c r="P303" s="13">
        <v>1.32</v>
      </c>
      <c r="Q303" s="11" t="str">
        <f>"1.3200"</f>
        <v>1.3200</v>
      </c>
      <c r="R303" s="10" t="str">
        <f t="shared" si="176"/>
        <v>C0004552</v>
      </c>
      <c r="S303" s="14" t="str">
        <f t="shared" si="177"/>
        <v>2129.8300</v>
      </c>
      <c r="T303" s="10">
        <v>22107</v>
      </c>
      <c r="U303" s="10">
        <v>1444</v>
      </c>
      <c r="V303" s="10" t="str">
        <f t="shared" si="178"/>
        <v>Printing Stationery &amp; Off Supp</v>
      </c>
      <c r="W303" s="10" t="str">
        <f t="shared" si="179"/>
        <v>Supplies and Services</v>
      </c>
      <c r="X303" s="10" t="str">
        <f>VLOOKUP(U303,'[1]Account code lookup'!A:B,2,0)</f>
        <v>Stationery</v>
      </c>
      <c r="Z303" s="10" t="str">
        <f>"Communications and Corporate P"</f>
        <v>Communications and Corporate P</v>
      </c>
      <c r="AA303" s="10" t="str">
        <f t="shared" si="201"/>
        <v>Strategy and Commissioning</v>
      </c>
      <c r="AB303" s="10" t="str">
        <f t="shared" si="202"/>
        <v>4sac</v>
      </c>
      <c r="AD303" s="10" t="str">
        <f>"sac03"</f>
        <v>sac03</v>
      </c>
      <c r="AE303" s="10" t="str">
        <f t="shared" si="180"/>
        <v>Environmental Services / Environmental Services Admin</v>
      </c>
      <c r="AG303" s="10" t="str">
        <f>"22107/1444"</f>
        <v>22107/1444</v>
      </c>
      <c r="AI303" s="10" t="str">
        <f t="shared" si="181"/>
        <v>14suse</v>
      </c>
      <c r="AJ303" s="15" t="str">
        <f>"LYRECO GRIP GEL INK BLACK PENS 0.5MM LINE WIDTH - BOX OF 12"</f>
        <v>LYRECO GRIP GEL INK BLACK PENS 0.5MM LINE WIDTH - BOX OF 12</v>
      </c>
      <c r="AK303" s="10" t="str">
        <f t="shared" si="182"/>
        <v>Revenue</v>
      </c>
      <c r="AL303" s="10" t="str">
        <f>""</f>
        <v/>
      </c>
      <c r="AM303" s="10" t="str">
        <f>""</f>
        <v/>
      </c>
      <c r="AN303" s="10" t="str">
        <f>""</f>
        <v/>
      </c>
      <c r="AO303" s="10" t="str">
        <f>""</f>
        <v/>
      </c>
    </row>
    <row r="304" spans="1:41" s="10" customFormat="1" ht="409.6">
      <c r="A304" s="9"/>
      <c r="B304" s="9"/>
      <c r="C304" s="9"/>
      <c r="D304" s="10" t="str">
        <f>"32494"</f>
        <v>32494</v>
      </c>
      <c r="E304" s="11" t="str">
        <f>""</f>
        <v/>
      </c>
      <c r="F304" s="11" t="str">
        <f t="shared" si="190"/>
        <v>372418</v>
      </c>
      <c r="G304" s="11" t="str">
        <f t="shared" si="191"/>
        <v>2017toJAN</v>
      </c>
      <c r="H304" s="11" t="str">
        <f t="shared" si="192"/>
        <v>CRSP06B</v>
      </c>
      <c r="I304" s="11" t="str">
        <f t="shared" si="193"/>
        <v>34</v>
      </c>
      <c r="J304" s="11" t="str">
        <f t="shared" si="194"/>
        <v>Creditor</v>
      </c>
      <c r="K304" s="11" t="str">
        <f t="shared" si="172"/>
        <v>CS000551</v>
      </c>
      <c r="L304" s="10" t="str">
        <f t="shared" si="173"/>
        <v>Lyreco UK Ltd</v>
      </c>
      <c r="M304" s="12" t="str">
        <f t="shared" si="174"/>
        <v>25/01/2017 00:00:00</v>
      </c>
      <c r="N304" s="12">
        <v>42760</v>
      </c>
      <c r="O304" s="10" t="str">
        <f t="shared" si="175"/>
        <v>C008069</v>
      </c>
      <c r="P304" s="13">
        <v>5.8</v>
      </c>
      <c r="Q304" s="11" t="str">
        <f>"5.8000"</f>
        <v>5.8000</v>
      </c>
      <c r="R304" s="10" t="str">
        <f t="shared" si="176"/>
        <v>C0004552</v>
      </c>
      <c r="S304" s="14" t="str">
        <f t="shared" si="177"/>
        <v>2129.8300</v>
      </c>
      <c r="T304" s="10">
        <v>22107</v>
      </c>
      <c r="U304" s="10">
        <v>1444</v>
      </c>
      <c r="V304" s="10" t="str">
        <f t="shared" si="178"/>
        <v>Printing Stationery &amp; Off Supp</v>
      </c>
      <c r="W304" s="10" t="str">
        <f t="shared" si="179"/>
        <v>Supplies and Services</v>
      </c>
      <c r="X304" s="10" t="str">
        <f>VLOOKUP(U304,'[1]Account code lookup'!A:B,2,0)</f>
        <v>Stationery</v>
      </c>
      <c r="Z304" s="10" t="str">
        <f>"Communications and Corporate P"</f>
        <v>Communications and Corporate P</v>
      </c>
      <c r="AA304" s="10" t="str">
        <f t="shared" si="201"/>
        <v>Strategy and Commissioning</v>
      </c>
      <c r="AB304" s="10" t="str">
        <f t="shared" si="202"/>
        <v>4sac</v>
      </c>
      <c r="AD304" s="10" t="str">
        <f>"sac03"</f>
        <v>sac03</v>
      </c>
      <c r="AE304" s="10" t="str">
        <f t="shared" si="180"/>
        <v>Environmental Services / Environmental Services Admin</v>
      </c>
      <c r="AG304" s="10" t="str">
        <f>"22107/1444"</f>
        <v>22107/1444</v>
      </c>
      <c r="AI304" s="10" t="str">
        <f t="shared" si="181"/>
        <v>14suse</v>
      </c>
      <c r="AJ304" s="15" t="str">
        <f>"LYRECO HARD BACK TWIN WIRE NOTEBOOK A5 - PACK OF 5"</f>
        <v>LYRECO HARD BACK TWIN WIRE NOTEBOOK A5 - PACK OF 5</v>
      </c>
      <c r="AK304" s="10" t="str">
        <f t="shared" si="182"/>
        <v>Revenue</v>
      </c>
      <c r="AL304" s="10" t="str">
        <f>""</f>
        <v/>
      </c>
      <c r="AM304" s="10" t="str">
        <f>""</f>
        <v/>
      </c>
      <c r="AN304" s="10" t="str">
        <f>""</f>
        <v/>
      </c>
      <c r="AO304" s="10" t="str">
        <f>""</f>
        <v/>
      </c>
    </row>
    <row r="305" spans="1:41" s="10" customFormat="1" ht="409.6">
      <c r="A305" s="9"/>
      <c r="B305" s="9"/>
      <c r="C305" s="9"/>
      <c r="D305" s="10" t="str">
        <f>"34119"</f>
        <v>34119</v>
      </c>
      <c r="E305" s="11" t="str">
        <f>""</f>
        <v/>
      </c>
      <c r="F305" s="11" t="str">
        <f t="shared" si="190"/>
        <v>372418</v>
      </c>
      <c r="G305" s="11" t="str">
        <f t="shared" si="191"/>
        <v>2017toJAN</v>
      </c>
      <c r="H305" s="11" t="str">
        <f t="shared" si="192"/>
        <v>CRSP06B</v>
      </c>
      <c r="I305" s="11" t="str">
        <f t="shared" si="193"/>
        <v>34</v>
      </c>
      <c r="J305" s="11" t="str">
        <f t="shared" si="194"/>
        <v>Creditor</v>
      </c>
      <c r="K305" s="11" t="str">
        <f t="shared" si="172"/>
        <v>CS000551</v>
      </c>
      <c r="L305" s="10" t="str">
        <f t="shared" si="173"/>
        <v>Lyreco UK Ltd</v>
      </c>
      <c r="M305" s="12" t="str">
        <f t="shared" si="174"/>
        <v>25/01/2017 00:00:00</v>
      </c>
      <c r="N305" s="12">
        <v>42760</v>
      </c>
      <c r="O305" s="10" t="str">
        <f t="shared" si="175"/>
        <v>C008069</v>
      </c>
      <c r="P305" s="13">
        <v>20.67</v>
      </c>
      <c r="Q305" s="11" t="str">
        <f>"20.6700"</f>
        <v>20.6700</v>
      </c>
      <c r="R305" s="10" t="str">
        <f t="shared" si="176"/>
        <v>C0004552</v>
      </c>
      <c r="S305" s="14" t="str">
        <f t="shared" si="177"/>
        <v>2129.8300</v>
      </c>
      <c r="T305" s="10">
        <v>22107</v>
      </c>
      <c r="U305" s="10">
        <v>1444</v>
      </c>
      <c r="V305" s="10" t="str">
        <f t="shared" si="178"/>
        <v>Printing Stationery &amp; Off Supp</v>
      </c>
      <c r="W305" s="10" t="str">
        <f t="shared" si="179"/>
        <v>Supplies and Services</v>
      </c>
      <c r="X305" s="10" t="str">
        <f>VLOOKUP(U305,'[1]Account code lookup'!A:B,2,0)</f>
        <v>Stationery</v>
      </c>
      <c r="Z305" s="10" t="str">
        <f>"Communications and Corporate P"</f>
        <v>Communications and Corporate P</v>
      </c>
      <c r="AA305" s="10" t="str">
        <f t="shared" si="201"/>
        <v>Strategy and Commissioning</v>
      </c>
      <c r="AB305" s="10" t="str">
        <f t="shared" si="202"/>
        <v>4sac</v>
      </c>
      <c r="AD305" s="10" t="str">
        <f>"sac03"</f>
        <v>sac03</v>
      </c>
      <c r="AE305" s="10" t="str">
        <f t="shared" si="180"/>
        <v>Environmental Services / Environmental Services Admin</v>
      </c>
      <c r="AG305" s="10" t="str">
        <f>"22107/1444"</f>
        <v>22107/1444</v>
      </c>
      <c r="AI305" s="10" t="str">
        <f t="shared" si="181"/>
        <v>14suse</v>
      </c>
      <c r="AJ305" s="15" t="str">
        <f>"PUKKA PAD PROJECT BOOK 250 SHEET A4 BLACK / SILVER - PACK OF 3"</f>
        <v>PUKKA PAD PROJECT BOOK 250 SHEET A4 BLACK / SILVER - PACK OF 3</v>
      </c>
      <c r="AK305" s="10" t="str">
        <f t="shared" si="182"/>
        <v>Revenue</v>
      </c>
      <c r="AL305" s="10" t="str">
        <f>""</f>
        <v/>
      </c>
      <c r="AM305" s="10" t="str">
        <f>""</f>
        <v/>
      </c>
      <c r="AN305" s="10" t="str">
        <f>""</f>
        <v/>
      </c>
      <c r="AO305" s="10" t="str">
        <f>""</f>
        <v/>
      </c>
    </row>
    <row r="306" spans="1:41" s="10" customFormat="1" ht="409.6">
      <c r="A306" s="9"/>
      <c r="B306" s="9"/>
      <c r="C306" s="9"/>
      <c r="D306" s="10" t="str">
        <f>"34120"</f>
        <v>34120</v>
      </c>
      <c r="E306" s="11" t="str">
        <f>""</f>
        <v/>
      </c>
      <c r="F306" s="11" t="str">
        <f t="shared" si="190"/>
        <v>372418</v>
      </c>
      <c r="G306" s="11" t="str">
        <f t="shared" si="191"/>
        <v>2017toJAN</v>
      </c>
      <c r="H306" s="11" t="str">
        <f t="shared" si="192"/>
        <v>CRSP06B</v>
      </c>
      <c r="I306" s="11" t="str">
        <f t="shared" si="193"/>
        <v>34</v>
      </c>
      <c r="J306" s="11" t="str">
        <f t="shared" si="194"/>
        <v>Creditor</v>
      </c>
      <c r="K306" s="11" t="str">
        <f t="shared" si="172"/>
        <v>CS000551</v>
      </c>
      <c r="L306" s="10" t="str">
        <f t="shared" si="173"/>
        <v>Lyreco UK Ltd</v>
      </c>
      <c r="M306" s="12" t="str">
        <f t="shared" si="174"/>
        <v>25/01/2017 00:00:00</v>
      </c>
      <c r="N306" s="12">
        <v>42760</v>
      </c>
      <c r="O306" s="10" t="str">
        <f t="shared" si="175"/>
        <v>C008069</v>
      </c>
      <c r="P306" s="13">
        <v>2.02</v>
      </c>
      <c r="Q306" s="11" t="str">
        <f>"2.0200"</f>
        <v>2.0200</v>
      </c>
      <c r="R306" s="10" t="str">
        <f t="shared" si="176"/>
        <v>C0004552</v>
      </c>
      <c r="S306" s="14" t="str">
        <f t="shared" si="177"/>
        <v>2129.8300</v>
      </c>
      <c r="T306" s="10">
        <v>25800</v>
      </c>
      <c r="U306" s="10">
        <v>1444</v>
      </c>
      <c r="V306" s="10" t="str">
        <f t="shared" si="178"/>
        <v>Printing Stationery &amp; Off Supp</v>
      </c>
      <c r="W306" s="10" t="str">
        <f t="shared" si="179"/>
        <v>Supplies and Services</v>
      </c>
      <c r="X306" s="10" t="str">
        <f>VLOOKUP(U306,'[1]Account code lookup'!A:B,2,0)</f>
        <v>Stationery</v>
      </c>
      <c r="Z306" s="10" t="str">
        <f t="shared" ref="Z306:Z321" si="205">"Environmental Services"</f>
        <v>Environmental Services</v>
      </c>
      <c r="AA306" s="10" t="str">
        <f t="shared" ref="AA306:AA321" si="206">"Operations and Delivery"</f>
        <v>Operations and Delivery</v>
      </c>
      <c r="AB306" s="10" t="str">
        <f t="shared" ref="AB306:AB321" si="207">"5oad"</f>
        <v>5oad</v>
      </c>
      <c r="AD306" s="10" t="str">
        <f t="shared" ref="AD306:AD321" si="208">"oad02"</f>
        <v>oad02</v>
      </c>
      <c r="AE306" s="10" t="str">
        <f t="shared" si="180"/>
        <v>Environmental Services / Environmental Services Admin</v>
      </c>
      <c r="AG306" s="10" t="str">
        <f t="shared" ref="AG306:AG321" si="209">"25800/1444"</f>
        <v>25800/1444</v>
      </c>
      <c r="AI306" s="10" t="str">
        <f t="shared" si="181"/>
        <v>14suse</v>
      </c>
      <c r="AJ306" s="15" t="str">
        <f>"BIC CRISTAL BALL POINT BLACK PENS 0.7MM LINE WIDTH - BOX OF 50"</f>
        <v>BIC CRISTAL BALL POINT BLACK PENS 0.7MM LINE WIDTH - BOX OF 50</v>
      </c>
      <c r="AK306" s="10" t="str">
        <f t="shared" si="182"/>
        <v>Revenue</v>
      </c>
      <c r="AL306" s="10" t="str">
        <f>""</f>
        <v/>
      </c>
      <c r="AM306" s="10" t="str">
        <f>""</f>
        <v/>
      </c>
      <c r="AN306" s="10" t="str">
        <f>""</f>
        <v/>
      </c>
      <c r="AO306" s="10" t="str">
        <f>""</f>
        <v/>
      </c>
    </row>
    <row r="307" spans="1:41" s="10" customFormat="1" ht="409.6">
      <c r="A307" s="9"/>
      <c r="B307" s="9"/>
      <c r="C307" s="9"/>
      <c r="D307" s="10" t="str">
        <f>"34121"</f>
        <v>34121</v>
      </c>
      <c r="E307" s="11" t="str">
        <f>""</f>
        <v/>
      </c>
      <c r="F307" s="11" t="str">
        <f t="shared" si="190"/>
        <v>372418</v>
      </c>
      <c r="G307" s="11" t="str">
        <f t="shared" si="191"/>
        <v>2017toJAN</v>
      </c>
      <c r="H307" s="11" t="str">
        <f t="shared" si="192"/>
        <v>CRSP06B</v>
      </c>
      <c r="I307" s="11" t="str">
        <f t="shared" si="193"/>
        <v>34</v>
      </c>
      <c r="J307" s="11" t="str">
        <f t="shared" si="194"/>
        <v>Creditor</v>
      </c>
      <c r="K307" s="11" t="str">
        <f t="shared" si="172"/>
        <v>CS000551</v>
      </c>
      <c r="L307" s="10" t="str">
        <f t="shared" si="173"/>
        <v>Lyreco UK Ltd</v>
      </c>
      <c r="M307" s="12" t="str">
        <f t="shared" si="174"/>
        <v>25/01/2017 00:00:00</v>
      </c>
      <c r="N307" s="12">
        <v>42760</v>
      </c>
      <c r="O307" s="10" t="str">
        <f t="shared" si="175"/>
        <v>C008069</v>
      </c>
      <c r="P307" s="13">
        <v>2.02</v>
      </c>
      <c r="Q307" s="11" t="str">
        <f>"2.0200"</f>
        <v>2.0200</v>
      </c>
      <c r="R307" s="10" t="str">
        <f t="shared" si="176"/>
        <v>C0004552</v>
      </c>
      <c r="S307" s="14" t="str">
        <f t="shared" si="177"/>
        <v>2129.8300</v>
      </c>
      <c r="T307" s="10">
        <v>25800</v>
      </c>
      <c r="U307" s="10">
        <v>1444</v>
      </c>
      <c r="V307" s="10" t="str">
        <f t="shared" si="178"/>
        <v>Printing Stationery &amp; Off Supp</v>
      </c>
      <c r="W307" s="10" t="str">
        <f t="shared" si="179"/>
        <v>Supplies and Services</v>
      </c>
      <c r="X307" s="10" t="str">
        <f>VLOOKUP(U307,'[1]Account code lookup'!A:B,2,0)</f>
        <v>Stationery</v>
      </c>
      <c r="Z307" s="10" t="str">
        <f t="shared" si="205"/>
        <v>Environmental Services</v>
      </c>
      <c r="AA307" s="10" t="str">
        <f t="shared" si="206"/>
        <v>Operations and Delivery</v>
      </c>
      <c r="AB307" s="10" t="str">
        <f t="shared" si="207"/>
        <v>5oad</v>
      </c>
      <c r="AD307" s="10" t="str">
        <f t="shared" si="208"/>
        <v>oad02</v>
      </c>
      <c r="AE307" s="10" t="str">
        <f t="shared" si="180"/>
        <v>Environmental Services / Environmental Services Admin</v>
      </c>
      <c r="AG307" s="10" t="str">
        <f t="shared" si="209"/>
        <v>25800/1444</v>
      </c>
      <c r="AI307" s="10" t="str">
        <f t="shared" si="181"/>
        <v>14suse</v>
      </c>
      <c r="AJ307" s="15" t="str">
        <f>"BIC CRISTAL BALL POINT BLUE PENS 0.7MM LINE WIDTH - BOX OF 50"</f>
        <v>BIC CRISTAL BALL POINT BLUE PENS 0.7MM LINE WIDTH - BOX OF 50</v>
      </c>
      <c r="AK307" s="10" t="str">
        <f t="shared" si="182"/>
        <v>Revenue</v>
      </c>
      <c r="AL307" s="10" t="str">
        <f>""</f>
        <v/>
      </c>
      <c r="AM307" s="10" t="str">
        <f>""</f>
        <v/>
      </c>
      <c r="AN307" s="10" t="str">
        <f>""</f>
        <v/>
      </c>
      <c r="AO307" s="10" t="str">
        <f>""</f>
        <v/>
      </c>
    </row>
    <row r="308" spans="1:41" s="10" customFormat="1" ht="409.6">
      <c r="A308" s="9"/>
      <c r="B308" s="9"/>
      <c r="C308" s="9"/>
      <c r="D308" s="10" t="str">
        <f>"34122"</f>
        <v>34122</v>
      </c>
      <c r="E308" s="11" t="str">
        <f>""</f>
        <v/>
      </c>
      <c r="F308" s="11" t="str">
        <f t="shared" si="190"/>
        <v>372418</v>
      </c>
      <c r="G308" s="11" t="str">
        <f t="shared" si="191"/>
        <v>2017toJAN</v>
      </c>
      <c r="H308" s="11" t="str">
        <f t="shared" si="192"/>
        <v>CRSP06B</v>
      </c>
      <c r="I308" s="11" t="str">
        <f t="shared" si="193"/>
        <v>34</v>
      </c>
      <c r="J308" s="11" t="str">
        <f t="shared" si="194"/>
        <v>Creditor</v>
      </c>
      <c r="K308" s="11" t="str">
        <f t="shared" si="172"/>
        <v>CS000551</v>
      </c>
      <c r="L308" s="10" t="str">
        <f t="shared" si="173"/>
        <v>Lyreco UK Ltd</v>
      </c>
      <c r="M308" s="12" t="str">
        <f t="shared" si="174"/>
        <v>25/01/2017 00:00:00</v>
      </c>
      <c r="N308" s="12">
        <v>42760</v>
      </c>
      <c r="O308" s="10" t="str">
        <f t="shared" si="175"/>
        <v>C008069</v>
      </c>
      <c r="P308" s="13">
        <v>38.53</v>
      </c>
      <c r="Q308" s="11" t="str">
        <f>"38.5300"</f>
        <v>38.5300</v>
      </c>
      <c r="R308" s="10" t="str">
        <f t="shared" si="176"/>
        <v>C0004552</v>
      </c>
      <c r="S308" s="14" t="str">
        <f t="shared" si="177"/>
        <v>2129.8300</v>
      </c>
      <c r="T308" s="10">
        <v>25800</v>
      </c>
      <c r="U308" s="10">
        <v>1444</v>
      </c>
      <c r="V308" s="10" t="str">
        <f t="shared" si="178"/>
        <v>Printing Stationery &amp; Off Supp</v>
      </c>
      <c r="W308" s="10" t="str">
        <f t="shared" si="179"/>
        <v>Supplies and Services</v>
      </c>
      <c r="X308" s="10" t="str">
        <f>VLOOKUP(U308,'[1]Account code lookup'!A:B,2,0)</f>
        <v>Stationery</v>
      </c>
      <c r="Z308" s="10" t="str">
        <f t="shared" si="205"/>
        <v>Environmental Services</v>
      </c>
      <c r="AA308" s="10" t="str">
        <f t="shared" si="206"/>
        <v>Operations and Delivery</v>
      </c>
      <c r="AB308" s="10" t="str">
        <f t="shared" si="207"/>
        <v>5oad</v>
      </c>
      <c r="AD308" s="10" t="str">
        <f t="shared" si="208"/>
        <v>oad02</v>
      </c>
      <c r="AE308" s="10" t="str">
        <f t="shared" si="180"/>
        <v>Environmental Services / Environmental Services Admin</v>
      </c>
      <c r="AG308" s="10" t="str">
        <f t="shared" si="209"/>
        <v>25800/1444</v>
      </c>
      <c r="AI308" s="10" t="str">
        <f t="shared" si="181"/>
        <v>14suse</v>
      </c>
      <c r="AJ308" s="15" t="str">
        <f>"BROTHER PC74RF ORIGINAL INK FILM RIBBON FAX REFILLS - PACK OF 4"</f>
        <v>BROTHER PC74RF ORIGINAL INK FILM RIBBON FAX REFILLS - PACK OF 4</v>
      </c>
      <c r="AK308" s="10" t="str">
        <f t="shared" si="182"/>
        <v>Revenue</v>
      </c>
      <c r="AL308" s="10" t="str">
        <f>""</f>
        <v/>
      </c>
      <c r="AM308" s="10" t="str">
        <f>""</f>
        <v/>
      </c>
      <c r="AN308" s="10" t="str">
        <f>""</f>
        <v/>
      </c>
      <c r="AO308" s="10" t="str">
        <f>""</f>
        <v/>
      </c>
    </row>
    <row r="309" spans="1:41" s="10" customFormat="1" ht="409.6">
      <c r="A309" s="9"/>
      <c r="B309" s="9"/>
      <c r="C309" s="9"/>
      <c r="D309" s="10" t="str">
        <f>"34123"</f>
        <v>34123</v>
      </c>
      <c r="E309" s="11" t="str">
        <f>""</f>
        <v/>
      </c>
      <c r="F309" s="11" t="str">
        <f t="shared" si="190"/>
        <v>372418</v>
      </c>
      <c r="G309" s="11" t="str">
        <f t="shared" si="191"/>
        <v>2017toJAN</v>
      </c>
      <c r="H309" s="11" t="str">
        <f t="shared" si="192"/>
        <v>CRSP06B</v>
      </c>
      <c r="I309" s="11" t="str">
        <f t="shared" si="193"/>
        <v>34</v>
      </c>
      <c r="J309" s="11" t="str">
        <f t="shared" si="194"/>
        <v>Creditor</v>
      </c>
      <c r="K309" s="11" t="str">
        <f t="shared" si="172"/>
        <v>CS000551</v>
      </c>
      <c r="L309" s="10" t="str">
        <f t="shared" si="173"/>
        <v>Lyreco UK Ltd</v>
      </c>
      <c r="M309" s="12" t="str">
        <f t="shared" si="174"/>
        <v>25/01/2017 00:00:00</v>
      </c>
      <c r="N309" s="12">
        <v>42760</v>
      </c>
      <c r="O309" s="10" t="str">
        <f t="shared" si="175"/>
        <v>C008069</v>
      </c>
      <c r="P309" s="13">
        <v>1.05</v>
      </c>
      <c r="Q309" s="11" t="str">
        <f>"1.0500"</f>
        <v>1.0500</v>
      </c>
      <c r="R309" s="10" t="str">
        <f t="shared" si="176"/>
        <v>C0004552</v>
      </c>
      <c r="S309" s="14" t="str">
        <f t="shared" si="177"/>
        <v>2129.8300</v>
      </c>
      <c r="T309" s="10">
        <v>25800</v>
      </c>
      <c r="U309" s="10">
        <v>1444</v>
      </c>
      <c r="V309" s="10" t="str">
        <f t="shared" si="178"/>
        <v>Printing Stationery &amp; Off Supp</v>
      </c>
      <c r="W309" s="10" t="str">
        <f t="shared" si="179"/>
        <v>Supplies and Services</v>
      </c>
      <c r="X309" s="10" t="str">
        <f>VLOOKUP(U309,'[1]Account code lookup'!A:B,2,0)</f>
        <v>Stationery</v>
      </c>
      <c r="Z309" s="10" t="str">
        <f t="shared" si="205"/>
        <v>Environmental Services</v>
      </c>
      <c r="AA309" s="10" t="str">
        <f t="shared" si="206"/>
        <v>Operations and Delivery</v>
      </c>
      <c r="AB309" s="10" t="str">
        <f t="shared" si="207"/>
        <v>5oad</v>
      </c>
      <c r="AD309" s="10" t="str">
        <f t="shared" si="208"/>
        <v>oad02</v>
      </c>
      <c r="AE309" s="10" t="str">
        <f t="shared" si="180"/>
        <v>Environmental Services / Environmental Services Admin</v>
      </c>
      <c r="AG309" s="10" t="str">
        <f t="shared" si="209"/>
        <v>25800/1444</v>
      </c>
      <c r="AI309" s="10" t="str">
        <f t="shared" si="181"/>
        <v>14suse</v>
      </c>
      <c r="AJ309" s="15" t="str">
        <f>"LYRECO BUDGET ASSORTED COLOUR A4 12 PART DIVIDERS 160GSM"</f>
        <v>LYRECO BUDGET ASSORTED COLOUR A4 12 PART DIVIDERS 160GSM</v>
      </c>
      <c r="AK309" s="10" t="str">
        <f t="shared" si="182"/>
        <v>Revenue</v>
      </c>
      <c r="AL309" s="10" t="str">
        <f>""</f>
        <v/>
      </c>
      <c r="AM309" s="10" t="str">
        <f>""</f>
        <v/>
      </c>
      <c r="AN309" s="10" t="str">
        <f>""</f>
        <v/>
      </c>
      <c r="AO309" s="10" t="str">
        <f>""</f>
        <v/>
      </c>
    </row>
    <row r="310" spans="1:41" s="10" customFormat="1" ht="409.6">
      <c r="A310" s="9"/>
      <c r="B310" s="9"/>
      <c r="C310" s="9"/>
      <c r="D310" s="10" t="str">
        <f>"34124"</f>
        <v>34124</v>
      </c>
      <c r="E310" s="11" t="str">
        <f>""</f>
        <v/>
      </c>
      <c r="F310" s="11" t="str">
        <f t="shared" si="190"/>
        <v>372418</v>
      </c>
      <c r="G310" s="11" t="str">
        <f t="shared" si="191"/>
        <v>2017toJAN</v>
      </c>
      <c r="H310" s="11" t="str">
        <f t="shared" si="192"/>
        <v>CRSP06B</v>
      </c>
      <c r="I310" s="11" t="str">
        <f t="shared" si="193"/>
        <v>34</v>
      </c>
      <c r="J310" s="11" t="str">
        <f t="shared" si="194"/>
        <v>Creditor</v>
      </c>
      <c r="K310" s="11" t="str">
        <f t="shared" si="172"/>
        <v>CS000551</v>
      </c>
      <c r="L310" s="10" t="str">
        <f t="shared" si="173"/>
        <v>Lyreco UK Ltd</v>
      </c>
      <c r="M310" s="12" t="str">
        <f t="shared" si="174"/>
        <v>25/01/2017 00:00:00</v>
      </c>
      <c r="N310" s="12">
        <v>42760</v>
      </c>
      <c r="O310" s="10" t="str">
        <f t="shared" si="175"/>
        <v>C008069</v>
      </c>
      <c r="P310" s="13">
        <v>2</v>
      </c>
      <c r="Q310" s="11" t="str">
        <f>"2.0000"</f>
        <v>2.0000</v>
      </c>
      <c r="R310" s="10" t="str">
        <f t="shared" si="176"/>
        <v>C0004552</v>
      </c>
      <c r="S310" s="14" t="str">
        <f t="shared" si="177"/>
        <v>2129.8300</v>
      </c>
      <c r="T310" s="10">
        <v>25800</v>
      </c>
      <c r="U310" s="10">
        <v>1444</v>
      </c>
      <c r="V310" s="10" t="str">
        <f t="shared" si="178"/>
        <v>Printing Stationery &amp; Off Supp</v>
      </c>
      <c r="W310" s="10" t="str">
        <f t="shared" si="179"/>
        <v>Supplies and Services</v>
      </c>
      <c r="X310" s="10" t="str">
        <f>VLOOKUP(U310,'[1]Account code lookup'!A:B,2,0)</f>
        <v>Stationery</v>
      </c>
      <c r="Z310" s="10" t="str">
        <f t="shared" si="205"/>
        <v>Environmental Services</v>
      </c>
      <c r="AA310" s="10" t="str">
        <f t="shared" si="206"/>
        <v>Operations and Delivery</v>
      </c>
      <c r="AB310" s="10" t="str">
        <f t="shared" si="207"/>
        <v>5oad</v>
      </c>
      <c r="AD310" s="10" t="str">
        <f t="shared" si="208"/>
        <v>oad02</v>
      </c>
      <c r="AE310" s="10" t="str">
        <f t="shared" si="180"/>
        <v>Environmental Services / Environmental Services Admin</v>
      </c>
      <c r="AG310" s="10" t="str">
        <f t="shared" si="209"/>
        <v>25800/1444</v>
      </c>
      <c r="AI310" s="10" t="str">
        <f t="shared" si="181"/>
        <v>14suse</v>
      </c>
      <c r="AJ310" s="15" t="str">
        <f>"LYRECO BUDGET WHITE A4 MEMO PADS (RULED) - PACK OF 10 (10 X 80 SHEETS)"</f>
        <v>LYRECO BUDGET WHITE A4 MEMO PADS (RULED) - PACK OF 10 (10 X 80 SHEETS)</v>
      </c>
      <c r="AK310" s="10" t="str">
        <f t="shared" si="182"/>
        <v>Revenue</v>
      </c>
      <c r="AL310" s="10" t="str">
        <f>""</f>
        <v/>
      </c>
      <c r="AM310" s="10" t="str">
        <f>""</f>
        <v/>
      </c>
      <c r="AN310" s="10" t="str">
        <f>""</f>
        <v/>
      </c>
      <c r="AO310" s="10" t="str">
        <f>""</f>
        <v/>
      </c>
    </row>
    <row r="311" spans="1:41" s="10" customFormat="1" ht="409.6">
      <c r="A311" s="9"/>
      <c r="B311" s="9"/>
      <c r="C311" s="9"/>
      <c r="D311" s="10" t="str">
        <f>"34125"</f>
        <v>34125</v>
      </c>
      <c r="E311" s="11" t="str">
        <f>""</f>
        <v/>
      </c>
      <c r="F311" s="11" t="str">
        <f t="shared" si="190"/>
        <v>372418</v>
      </c>
      <c r="G311" s="11" t="str">
        <f t="shared" si="191"/>
        <v>2017toJAN</v>
      </c>
      <c r="H311" s="11" t="str">
        <f t="shared" si="192"/>
        <v>CRSP06B</v>
      </c>
      <c r="I311" s="11" t="str">
        <f t="shared" si="193"/>
        <v>34</v>
      </c>
      <c r="J311" s="11" t="str">
        <f t="shared" si="194"/>
        <v>Creditor</v>
      </c>
      <c r="K311" s="11" t="str">
        <f t="shared" si="172"/>
        <v>CS000551</v>
      </c>
      <c r="L311" s="10" t="str">
        <f t="shared" si="173"/>
        <v>Lyreco UK Ltd</v>
      </c>
      <c r="M311" s="12" t="str">
        <f t="shared" si="174"/>
        <v>25/01/2017 00:00:00</v>
      </c>
      <c r="N311" s="12">
        <v>42760</v>
      </c>
      <c r="O311" s="10" t="str">
        <f t="shared" si="175"/>
        <v>C008069</v>
      </c>
      <c r="P311" s="13">
        <v>9.58</v>
      </c>
      <c r="Q311" s="11" t="str">
        <f>"9.5800"</f>
        <v>9.5800</v>
      </c>
      <c r="R311" s="10" t="str">
        <f t="shared" si="176"/>
        <v>C0004552</v>
      </c>
      <c r="S311" s="14" t="str">
        <f t="shared" si="177"/>
        <v>2129.8300</v>
      </c>
      <c r="T311" s="10">
        <v>25800</v>
      </c>
      <c r="U311" s="10">
        <v>1444</v>
      </c>
      <c r="V311" s="10" t="str">
        <f t="shared" si="178"/>
        <v>Printing Stationery &amp; Off Supp</v>
      </c>
      <c r="W311" s="10" t="str">
        <f t="shared" si="179"/>
        <v>Supplies and Services</v>
      </c>
      <c r="X311" s="10" t="str">
        <f>VLOOKUP(U311,'[1]Account code lookup'!A:B,2,0)</f>
        <v>Stationery</v>
      </c>
      <c r="Z311" s="10" t="str">
        <f t="shared" si="205"/>
        <v>Environmental Services</v>
      </c>
      <c r="AA311" s="10" t="str">
        <f t="shared" si="206"/>
        <v>Operations and Delivery</v>
      </c>
      <c r="AB311" s="10" t="str">
        <f t="shared" si="207"/>
        <v>5oad</v>
      </c>
      <c r="AD311" s="10" t="str">
        <f t="shared" si="208"/>
        <v>oad02</v>
      </c>
      <c r="AE311" s="10" t="str">
        <f t="shared" si="180"/>
        <v>Environmental Services / Environmental Services Admin</v>
      </c>
      <c r="AG311" s="10" t="str">
        <f t="shared" si="209"/>
        <v>25800/1444</v>
      </c>
      <c r="AI311" s="10" t="str">
        <f t="shared" si="181"/>
        <v>14suse</v>
      </c>
      <c r="AJ311" s="15" t="str">
        <f>"LYRECO ENVELOPES C5 90 G 100 PERCENT RECYCLED WHITE - BOX OF 500"</f>
        <v>LYRECO ENVELOPES C5 90 G 100 PERCENT RECYCLED WHITE - BOX OF 500</v>
      </c>
      <c r="AK311" s="10" t="str">
        <f t="shared" si="182"/>
        <v>Revenue</v>
      </c>
      <c r="AL311" s="10" t="str">
        <f>""</f>
        <v/>
      </c>
      <c r="AM311" s="10" t="str">
        <f>""</f>
        <v/>
      </c>
      <c r="AN311" s="10" t="str">
        <f>""</f>
        <v/>
      </c>
      <c r="AO311" s="10" t="str">
        <f>""</f>
        <v/>
      </c>
    </row>
    <row r="312" spans="1:41" s="10" customFormat="1" ht="409.6">
      <c r="A312" s="9"/>
      <c r="B312" s="9"/>
      <c r="C312" s="9"/>
      <c r="D312" s="10" t="str">
        <f>"34126"</f>
        <v>34126</v>
      </c>
      <c r="E312" s="11" t="str">
        <f>""</f>
        <v/>
      </c>
      <c r="F312" s="11" t="str">
        <f t="shared" si="190"/>
        <v>372418</v>
      </c>
      <c r="G312" s="11" t="str">
        <f t="shared" si="191"/>
        <v>2017toJAN</v>
      </c>
      <c r="H312" s="11" t="str">
        <f t="shared" si="192"/>
        <v>CRSP06B</v>
      </c>
      <c r="I312" s="11" t="str">
        <f t="shared" si="193"/>
        <v>34</v>
      </c>
      <c r="J312" s="11" t="str">
        <f t="shared" si="194"/>
        <v>Creditor</v>
      </c>
      <c r="K312" s="11" t="str">
        <f t="shared" si="172"/>
        <v>CS000551</v>
      </c>
      <c r="L312" s="10" t="str">
        <f t="shared" si="173"/>
        <v>Lyreco UK Ltd</v>
      </c>
      <c r="M312" s="12" t="str">
        <f t="shared" si="174"/>
        <v>25/01/2017 00:00:00</v>
      </c>
      <c r="N312" s="12">
        <v>42760</v>
      </c>
      <c r="O312" s="10" t="str">
        <f t="shared" si="175"/>
        <v>C008069</v>
      </c>
      <c r="P312" s="13">
        <v>0.11</v>
      </c>
      <c r="Q312" s="11" t="str">
        <f>"0.1100"</f>
        <v>0.1100</v>
      </c>
      <c r="R312" s="10" t="str">
        <f t="shared" si="176"/>
        <v>C0004552</v>
      </c>
      <c r="S312" s="14" t="str">
        <f t="shared" si="177"/>
        <v>2129.8300</v>
      </c>
      <c r="T312" s="10">
        <v>25800</v>
      </c>
      <c r="U312" s="10">
        <v>1444</v>
      </c>
      <c r="V312" s="10" t="str">
        <f t="shared" si="178"/>
        <v>Printing Stationery &amp; Off Supp</v>
      </c>
      <c r="W312" s="10" t="str">
        <f t="shared" si="179"/>
        <v>Supplies and Services</v>
      </c>
      <c r="X312" s="10" t="str">
        <f>VLOOKUP(U312,'[1]Account code lookup'!A:B,2,0)</f>
        <v>Stationery</v>
      </c>
      <c r="Z312" s="10" t="str">
        <f t="shared" si="205"/>
        <v>Environmental Services</v>
      </c>
      <c r="AA312" s="10" t="str">
        <f t="shared" si="206"/>
        <v>Operations and Delivery</v>
      </c>
      <c r="AB312" s="10" t="str">
        <f t="shared" si="207"/>
        <v>5oad</v>
      </c>
      <c r="AD312" s="10" t="str">
        <f t="shared" si="208"/>
        <v>oad02</v>
      </c>
      <c r="AE312" s="10" t="str">
        <f t="shared" si="180"/>
        <v>Environmental Services / Environmental Services Admin</v>
      </c>
      <c r="AG312" s="10" t="str">
        <f t="shared" si="209"/>
        <v>25800/1444</v>
      </c>
      <c r="AI312" s="10" t="str">
        <f t="shared" si="181"/>
        <v>14suse</v>
      </c>
      <c r="AJ312" s="15" t="str">
        <f>"LYRECO HB PENCILS - BOX OF 12"</f>
        <v>LYRECO HB PENCILS - BOX OF 12</v>
      </c>
      <c r="AK312" s="10" t="str">
        <f t="shared" si="182"/>
        <v>Revenue</v>
      </c>
      <c r="AL312" s="10" t="str">
        <f>""</f>
        <v/>
      </c>
      <c r="AM312" s="10" t="str">
        <f>""</f>
        <v/>
      </c>
      <c r="AN312" s="10" t="str">
        <f>""</f>
        <v/>
      </c>
      <c r="AO312" s="10" t="str">
        <f>""</f>
        <v/>
      </c>
    </row>
    <row r="313" spans="1:41" s="10" customFormat="1" ht="409.6">
      <c r="A313" s="9"/>
      <c r="B313" s="9"/>
      <c r="C313" s="9"/>
      <c r="D313" s="10" t="str">
        <f>"34127"</f>
        <v>34127</v>
      </c>
      <c r="E313" s="11" t="str">
        <f>""</f>
        <v/>
      </c>
      <c r="F313" s="11" t="str">
        <f t="shared" si="190"/>
        <v>372418</v>
      </c>
      <c r="G313" s="11" t="str">
        <f t="shared" si="191"/>
        <v>2017toJAN</v>
      </c>
      <c r="H313" s="11" t="str">
        <f t="shared" si="192"/>
        <v>CRSP06B</v>
      </c>
      <c r="I313" s="11" t="str">
        <f t="shared" si="193"/>
        <v>34</v>
      </c>
      <c r="J313" s="11" t="str">
        <f t="shared" si="194"/>
        <v>Creditor</v>
      </c>
      <c r="K313" s="11" t="str">
        <f t="shared" ref="K313:K376" si="210">"CS000551"</f>
        <v>CS000551</v>
      </c>
      <c r="L313" s="10" t="str">
        <f t="shared" ref="L313:L376" si="211">"Lyreco UK Ltd"</f>
        <v>Lyreco UK Ltd</v>
      </c>
      <c r="M313" s="12" t="str">
        <f t="shared" ref="M313:M366" si="212">"25/01/2017 00:00:00"</f>
        <v>25/01/2017 00:00:00</v>
      </c>
      <c r="N313" s="12">
        <v>42760</v>
      </c>
      <c r="O313" s="10" t="str">
        <f t="shared" ref="O313:O366" si="213">"C008069"</f>
        <v>C008069</v>
      </c>
      <c r="P313" s="13">
        <v>0.36</v>
      </c>
      <c r="Q313" s="11" t="str">
        <f>"0.3600"</f>
        <v>0.3600</v>
      </c>
      <c r="R313" s="10" t="str">
        <f t="shared" ref="R313:R366" si="214">"C0004552"</f>
        <v>C0004552</v>
      </c>
      <c r="S313" s="14" t="str">
        <f t="shared" ref="S313:S366" si="215">"2129.8300"</f>
        <v>2129.8300</v>
      </c>
      <c r="T313" s="10">
        <v>25800</v>
      </c>
      <c r="U313" s="10">
        <v>1444</v>
      </c>
      <c r="V313" s="10" t="str">
        <f t="shared" ref="V313:V376" si="216">"Printing Stationery &amp; Off Supp"</f>
        <v>Printing Stationery &amp; Off Supp</v>
      </c>
      <c r="W313" s="10" t="str">
        <f t="shared" ref="W313:W376" si="217">"Supplies and Services"</f>
        <v>Supplies and Services</v>
      </c>
      <c r="X313" s="10" t="str">
        <f>VLOOKUP(U313,'[1]Account code lookup'!A:B,2,0)</f>
        <v>Stationery</v>
      </c>
      <c r="Z313" s="10" t="str">
        <f t="shared" si="205"/>
        <v>Environmental Services</v>
      </c>
      <c r="AA313" s="10" t="str">
        <f t="shared" si="206"/>
        <v>Operations and Delivery</v>
      </c>
      <c r="AB313" s="10" t="str">
        <f t="shared" si="207"/>
        <v>5oad</v>
      </c>
      <c r="AD313" s="10" t="str">
        <f t="shared" si="208"/>
        <v>oad02</v>
      </c>
      <c r="AE313" s="10" t="str">
        <f t="shared" ref="AE313:AE366" si="218">"Environmental Services / Environmental Services Admin"</f>
        <v>Environmental Services / Environmental Services Admin</v>
      </c>
      <c r="AG313" s="10" t="str">
        <f t="shared" si="209"/>
        <v>25800/1444</v>
      </c>
      <c r="AI313" s="10" t="str">
        <f t="shared" ref="AI313:AI376" si="219">"14suse"</f>
        <v>14suse</v>
      </c>
      <c r="AJ313" s="15" t="str">
        <f>"LYRECO PLAIN YELLOW STICKY NOTES 76 X 76MM - PACK OF 12 PADS"</f>
        <v>LYRECO PLAIN YELLOW STICKY NOTES 76 X 76MM - PACK OF 12 PADS</v>
      </c>
      <c r="AK313" s="10" t="str">
        <f t="shared" ref="AK313:AK376" si="220">"Revenue"</f>
        <v>Revenue</v>
      </c>
      <c r="AL313" s="10" t="str">
        <f>""</f>
        <v/>
      </c>
      <c r="AM313" s="10" t="str">
        <f>""</f>
        <v/>
      </c>
      <c r="AN313" s="10" t="str">
        <f>""</f>
        <v/>
      </c>
      <c r="AO313" s="10" t="str">
        <f>""</f>
        <v/>
      </c>
    </row>
    <row r="314" spans="1:41" s="10" customFormat="1" ht="409.6">
      <c r="A314" s="9"/>
      <c r="B314" s="9"/>
      <c r="C314" s="9"/>
      <c r="D314" s="10" t="str">
        <f>"34559"</f>
        <v>34559</v>
      </c>
      <c r="E314" s="11" t="str">
        <f>""</f>
        <v/>
      </c>
      <c r="F314" s="11" t="str">
        <f t="shared" si="190"/>
        <v>372418</v>
      </c>
      <c r="G314" s="11" t="str">
        <f t="shared" si="191"/>
        <v>2017toJAN</v>
      </c>
      <c r="H314" s="11" t="str">
        <f t="shared" si="192"/>
        <v>CRSP06B</v>
      </c>
      <c r="I314" s="11" t="str">
        <f t="shared" si="193"/>
        <v>34</v>
      </c>
      <c r="J314" s="11" t="str">
        <f t="shared" si="194"/>
        <v>Creditor</v>
      </c>
      <c r="K314" s="11" t="str">
        <f t="shared" si="210"/>
        <v>CS000551</v>
      </c>
      <c r="L314" s="10" t="str">
        <f t="shared" si="211"/>
        <v>Lyreco UK Ltd</v>
      </c>
      <c r="M314" s="12" t="str">
        <f t="shared" si="212"/>
        <v>25/01/2017 00:00:00</v>
      </c>
      <c r="N314" s="12">
        <v>42760</v>
      </c>
      <c r="O314" s="10" t="str">
        <f t="shared" si="213"/>
        <v>C008069</v>
      </c>
      <c r="P314" s="13">
        <v>0.15</v>
      </c>
      <c r="Q314" s="11" t="str">
        <f>"0.1500"</f>
        <v>0.1500</v>
      </c>
      <c r="R314" s="10" t="str">
        <f t="shared" si="214"/>
        <v>C0004552</v>
      </c>
      <c r="S314" s="14" t="str">
        <f t="shared" si="215"/>
        <v>2129.8300</v>
      </c>
      <c r="T314" s="10">
        <v>25800</v>
      </c>
      <c r="U314" s="10">
        <v>1444</v>
      </c>
      <c r="V314" s="10" t="str">
        <f t="shared" si="216"/>
        <v>Printing Stationery &amp; Off Supp</v>
      </c>
      <c r="W314" s="10" t="str">
        <f t="shared" si="217"/>
        <v>Supplies and Services</v>
      </c>
      <c r="X314" s="10" t="str">
        <f>VLOOKUP(U314,'[1]Account code lookup'!A:B,2,0)</f>
        <v>Stationery</v>
      </c>
      <c r="Z314" s="10" t="str">
        <f t="shared" si="205"/>
        <v>Environmental Services</v>
      </c>
      <c r="AA314" s="10" t="str">
        <f t="shared" si="206"/>
        <v>Operations and Delivery</v>
      </c>
      <c r="AB314" s="10" t="str">
        <f t="shared" si="207"/>
        <v>5oad</v>
      </c>
      <c r="AD314" s="10" t="str">
        <f t="shared" si="208"/>
        <v>oad02</v>
      </c>
      <c r="AE314" s="10" t="str">
        <f t="shared" si="218"/>
        <v>Environmental Services / Environmental Services Admin</v>
      </c>
      <c r="AG314" s="10" t="str">
        <f t="shared" si="209"/>
        <v>25800/1444</v>
      </c>
      <c r="AI314" s="10" t="str">
        <f t="shared" si="219"/>
        <v>14suse</v>
      </c>
      <c r="AJ314" s="15" t="str">
        <f>"LYRECO STAPLES 26/6 - BOX OF 5000"</f>
        <v>LYRECO STAPLES 26/6 - BOX OF 5000</v>
      </c>
      <c r="AK314" s="10" t="str">
        <f t="shared" si="220"/>
        <v>Revenue</v>
      </c>
      <c r="AL314" s="10" t="str">
        <f>""</f>
        <v/>
      </c>
      <c r="AM314" s="10" t="str">
        <f>""</f>
        <v/>
      </c>
      <c r="AN314" s="10" t="str">
        <f>""</f>
        <v/>
      </c>
      <c r="AO314" s="10" t="str">
        <f>""</f>
        <v/>
      </c>
    </row>
    <row r="315" spans="1:41" s="10" customFormat="1" ht="409.6">
      <c r="A315" s="9"/>
      <c r="B315" s="9"/>
      <c r="C315" s="9"/>
      <c r="D315" s="10" t="str">
        <f>"34560"</f>
        <v>34560</v>
      </c>
      <c r="E315" s="11" t="str">
        <f>""</f>
        <v/>
      </c>
      <c r="F315" s="11" t="str">
        <f t="shared" si="190"/>
        <v>372418</v>
      </c>
      <c r="G315" s="11" t="str">
        <f t="shared" si="191"/>
        <v>2017toJAN</v>
      </c>
      <c r="H315" s="11" t="str">
        <f t="shared" si="192"/>
        <v>CRSP06B</v>
      </c>
      <c r="I315" s="11" t="str">
        <f t="shared" si="193"/>
        <v>34</v>
      </c>
      <c r="J315" s="11" t="str">
        <f t="shared" si="194"/>
        <v>Creditor</v>
      </c>
      <c r="K315" s="11" t="str">
        <f t="shared" si="210"/>
        <v>CS000551</v>
      </c>
      <c r="L315" s="10" t="str">
        <f t="shared" si="211"/>
        <v>Lyreco UK Ltd</v>
      </c>
      <c r="M315" s="12" t="str">
        <f t="shared" si="212"/>
        <v>25/01/2017 00:00:00</v>
      </c>
      <c r="N315" s="12">
        <v>42760</v>
      </c>
      <c r="O315" s="10" t="str">
        <f t="shared" si="213"/>
        <v>C008069</v>
      </c>
      <c r="P315" s="13">
        <v>1.1000000000000001</v>
      </c>
      <c r="Q315" s="11" t="str">
        <f>"1.1000"</f>
        <v>1.1000</v>
      </c>
      <c r="R315" s="10" t="str">
        <f t="shared" si="214"/>
        <v>C0004552</v>
      </c>
      <c r="S315" s="14" t="str">
        <f t="shared" si="215"/>
        <v>2129.8300</v>
      </c>
      <c r="T315" s="10">
        <v>25800</v>
      </c>
      <c r="U315" s="10">
        <v>1444</v>
      </c>
      <c r="V315" s="10" t="str">
        <f t="shared" si="216"/>
        <v>Printing Stationery &amp; Off Supp</v>
      </c>
      <c r="W315" s="10" t="str">
        <f t="shared" si="217"/>
        <v>Supplies and Services</v>
      </c>
      <c r="X315" s="10" t="str">
        <f>VLOOKUP(U315,'[1]Account code lookup'!A:B,2,0)</f>
        <v>Stationery</v>
      </c>
      <c r="Z315" s="10" t="str">
        <f t="shared" si="205"/>
        <v>Environmental Services</v>
      </c>
      <c r="AA315" s="10" t="str">
        <f t="shared" si="206"/>
        <v>Operations and Delivery</v>
      </c>
      <c r="AB315" s="10" t="str">
        <f t="shared" si="207"/>
        <v>5oad</v>
      </c>
      <c r="AD315" s="10" t="str">
        <f t="shared" si="208"/>
        <v>oad02</v>
      </c>
      <c r="AE315" s="10" t="str">
        <f t="shared" si="218"/>
        <v>Environmental Services / Environmental Services Admin</v>
      </c>
      <c r="AG315" s="10" t="str">
        <f t="shared" si="209"/>
        <v>25800/1444</v>
      </c>
      <c r="AI315" s="10" t="str">
        <f t="shared" si="219"/>
        <v>14suse</v>
      </c>
      <c r="AJ315" s="15" t="str">
        <f>"LYRECO WHITE 8 X 5INCH SHORTHAND NOTEBOOKS (RULED) - PACK OF 10 (10X150 SHEETS)"</f>
        <v>LYRECO WHITE 8 X 5INCH SHORTHAND NOTEBOOKS (RULED) - PACK OF 10 (10X150 SHEETS)</v>
      </c>
      <c r="AK315" s="10" t="str">
        <f t="shared" si="220"/>
        <v>Revenue</v>
      </c>
      <c r="AL315" s="10" t="str">
        <f>""</f>
        <v/>
      </c>
      <c r="AM315" s="10" t="str">
        <f>""</f>
        <v/>
      </c>
      <c r="AN315" s="10" t="str">
        <f>""</f>
        <v/>
      </c>
      <c r="AO315" s="10" t="str">
        <f>""</f>
        <v/>
      </c>
    </row>
    <row r="316" spans="1:41" s="10" customFormat="1" ht="409.6">
      <c r="A316" s="9"/>
      <c r="B316" s="9"/>
      <c r="C316" s="9"/>
      <c r="D316" s="10" t="str">
        <f>"34561"</f>
        <v>34561</v>
      </c>
      <c r="E316" s="11" t="str">
        <f>""</f>
        <v/>
      </c>
      <c r="F316" s="11" t="str">
        <f t="shared" si="190"/>
        <v>372418</v>
      </c>
      <c r="G316" s="11" t="str">
        <f t="shared" si="191"/>
        <v>2017toJAN</v>
      </c>
      <c r="H316" s="11" t="str">
        <f t="shared" si="192"/>
        <v>CRSP06B</v>
      </c>
      <c r="I316" s="11" t="str">
        <f t="shared" si="193"/>
        <v>34</v>
      </c>
      <c r="J316" s="11" t="str">
        <f t="shared" si="194"/>
        <v>Creditor</v>
      </c>
      <c r="K316" s="11" t="str">
        <f t="shared" si="210"/>
        <v>CS000551</v>
      </c>
      <c r="L316" s="10" t="str">
        <f t="shared" si="211"/>
        <v>Lyreco UK Ltd</v>
      </c>
      <c r="M316" s="12" t="str">
        <f t="shared" si="212"/>
        <v>25/01/2017 00:00:00</v>
      </c>
      <c r="N316" s="12">
        <v>42760</v>
      </c>
      <c r="O316" s="10" t="str">
        <f t="shared" si="213"/>
        <v>C008069</v>
      </c>
      <c r="P316" s="13">
        <v>3.03</v>
      </c>
      <c r="Q316" s="11" t="str">
        <f>"3.0300"</f>
        <v>3.0300</v>
      </c>
      <c r="R316" s="10" t="str">
        <f t="shared" si="214"/>
        <v>C0004552</v>
      </c>
      <c r="S316" s="14" t="str">
        <f t="shared" si="215"/>
        <v>2129.8300</v>
      </c>
      <c r="T316" s="10">
        <v>25800</v>
      </c>
      <c r="U316" s="10">
        <v>1444</v>
      </c>
      <c r="V316" s="10" t="str">
        <f t="shared" si="216"/>
        <v>Printing Stationery &amp; Off Supp</v>
      </c>
      <c r="W316" s="10" t="str">
        <f t="shared" si="217"/>
        <v>Supplies and Services</v>
      </c>
      <c r="X316" s="10" t="str">
        <f>VLOOKUP(U316,'[1]Account code lookup'!A:B,2,0)</f>
        <v>Stationery</v>
      </c>
      <c r="Z316" s="10" t="str">
        <f t="shared" si="205"/>
        <v>Environmental Services</v>
      </c>
      <c r="AA316" s="10" t="str">
        <f t="shared" si="206"/>
        <v>Operations and Delivery</v>
      </c>
      <c r="AB316" s="10" t="str">
        <f t="shared" si="207"/>
        <v>5oad</v>
      </c>
      <c r="AD316" s="10" t="str">
        <f t="shared" si="208"/>
        <v>oad02</v>
      </c>
      <c r="AE316" s="10" t="str">
        <f t="shared" si="218"/>
        <v>Environmental Services / Environmental Services Admin</v>
      </c>
      <c r="AG316" s="10" t="str">
        <f t="shared" si="209"/>
        <v>25800/1444</v>
      </c>
      <c r="AI316" s="10" t="str">
        <f t="shared" si="219"/>
        <v>14suse</v>
      </c>
      <c r="AJ316" s="15" t="str">
        <f>"LYRECO WHITE C4 SELF SEAL PLAIN ENVELOPES 100GSM - BOX OF 250"</f>
        <v>LYRECO WHITE C4 SELF SEAL PLAIN ENVELOPES 100GSM - BOX OF 250</v>
      </c>
      <c r="AK316" s="10" t="str">
        <f t="shared" si="220"/>
        <v>Revenue</v>
      </c>
      <c r="AL316" s="10" t="str">
        <f>""</f>
        <v/>
      </c>
      <c r="AM316" s="10" t="str">
        <f>""</f>
        <v/>
      </c>
      <c r="AN316" s="10" t="str">
        <f>""</f>
        <v/>
      </c>
      <c r="AO316" s="10" t="str">
        <f>""</f>
        <v/>
      </c>
    </row>
    <row r="317" spans="1:41" s="10" customFormat="1" ht="409.6">
      <c r="A317" s="9"/>
      <c r="B317" s="9"/>
      <c r="C317" s="9"/>
      <c r="D317" s="10" t="str">
        <f>"34562"</f>
        <v>34562</v>
      </c>
      <c r="E317" s="11" t="str">
        <f>""</f>
        <v/>
      </c>
      <c r="F317" s="11" t="str">
        <f t="shared" si="190"/>
        <v>372418</v>
      </c>
      <c r="G317" s="11" t="str">
        <f t="shared" si="191"/>
        <v>2017toJAN</v>
      </c>
      <c r="H317" s="11" t="str">
        <f t="shared" si="192"/>
        <v>CRSP06B</v>
      </c>
      <c r="I317" s="11" t="str">
        <f t="shared" si="193"/>
        <v>34</v>
      </c>
      <c r="J317" s="11" t="str">
        <f t="shared" si="194"/>
        <v>Creditor</v>
      </c>
      <c r="K317" s="11" t="str">
        <f t="shared" si="210"/>
        <v>CS000551</v>
      </c>
      <c r="L317" s="10" t="str">
        <f t="shared" si="211"/>
        <v>Lyreco UK Ltd</v>
      </c>
      <c r="M317" s="12" t="str">
        <f t="shared" si="212"/>
        <v>25/01/2017 00:00:00</v>
      </c>
      <c r="N317" s="12">
        <v>42760</v>
      </c>
      <c r="O317" s="10" t="str">
        <f t="shared" si="213"/>
        <v>C008069</v>
      </c>
      <c r="P317" s="13">
        <v>3.15</v>
      </c>
      <c r="Q317" s="11" t="str">
        <f>"3.1500"</f>
        <v>3.1500</v>
      </c>
      <c r="R317" s="10" t="str">
        <f t="shared" si="214"/>
        <v>C0004552</v>
      </c>
      <c r="S317" s="14" t="str">
        <f t="shared" si="215"/>
        <v>2129.8300</v>
      </c>
      <c r="T317" s="10">
        <v>25800</v>
      </c>
      <c r="U317" s="10">
        <v>1444</v>
      </c>
      <c r="V317" s="10" t="str">
        <f t="shared" si="216"/>
        <v>Printing Stationery &amp; Off Supp</v>
      </c>
      <c r="W317" s="10" t="str">
        <f t="shared" si="217"/>
        <v>Supplies and Services</v>
      </c>
      <c r="X317" s="10" t="str">
        <f>VLOOKUP(U317,'[1]Account code lookup'!A:B,2,0)</f>
        <v>Stationery</v>
      </c>
      <c r="Z317" s="10" t="str">
        <f t="shared" si="205"/>
        <v>Environmental Services</v>
      </c>
      <c r="AA317" s="10" t="str">
        <f t="shared" si="206"/>
        <v>Operations and Delivery</v>
      </c>
      <c r="AB317" s="10" t="str">
        <f t="shared" si="207"/>
        <v>5oad</v>
      </c>
      <c r="AD317" s="10" t="str">
        <f t="shared" si="208"/>
        <v>oad02</v>
      </c>
      <c r="AE317" s="10" t="str">
        <f t="shared" si="218"/>
        <v>Environmental Services / Environmental Services Admin</v>
      </c>
      <c r="AG317" s="10" t="str">
        <f t="shared" si="209"/>
        <v>25800/1444</v>
      </c>
      <c r="AI317" s="10" t="str">
        <f t="shared" si="219"/>
        <v>14suse</v>
      </c>
      <c r="AJ317" s="15" t="str">
        <f>"LYRECO WHITE C4 SELF SEAL WINDOW ENVELOPES 100GSM - BOX OF 250"</f>
        <v>LYRECO WHITE C4 SELF SEAL WINDOW ENVELOPES 100GSM - BOX OF 250</v>
      </c>
      <c r="AK317" s="10" t="str">
        <f t="shared" si="220"/>
        <v>Revenue</v>
      </c>
      <c r="AL317" s="10" t="str">
        <f>""</f>
        <v/>
      </c>
      <c r="AM317" s="10" t="str">
        <f>""</f>
        <v/>
      </c>
      <c r="AN317" s="10" t="str">
        <f>""</f>
        <v/>
      </c>
      <c r="AO317" s="10" t="str">
        <f>""</f>
        <v/>
      </c>
    </row>
    <row r="318" spans="1:41" s="10" customFormat="1" ht="409.6">
      <c r="A318" s="9"/>
      <c r="B318" s="9"/>
      <c r="C318" s="9"/>
      <c r="D318" s="10" t="str">
        <f>"34913"</f>
        <v>34913</v>
      </c>
      <c r="E318" s="11" t="str">
        <f>""</f>
        <v/>
      </c>
      <c r="F318" s="11" t="str">
        <f t="shared" si="190"/>
        <v>372418</v>
      </c>
      <c r="G318" s="11" t="str">
        <f t="shared" si="191"/>
        <v>2017toJAN</v>
      </c>
      <c r="H318" s="11" t="str">
        <f t="shared" si="192"/>
        <v>CRSP06B</v>
      </c>
      <c r="I318" s="11" t="str">
        <f t="shared" si="193"/>
        <v>34</v>
      </c>
      <c r="J318" s="11" t="str">
        <f t="shared" si="194"/>
        <v>Creditor</v>
      </c>
      <c r="K318" s="11" t="str">
        <f t="shared" si="210"/>
        <v>CS000551</v>
      </c>
      <c r="L318" s="10" t="str">
        <f t="shared" si="211"/>
        <v>Lyreco UK Ltd</v>
      </c>
      <c r="M318" s="12" t="str">
        <f t="shared" si="212"/>
        <v>25/01/2017 00:00:00</v>
      </c>
      <c r="N318" s="12">
        <v>42760</v>
      </c>
      <c r="O318" s="10" t="str">
        <f t="shared" si="213"/>
        <v>C008069</v>
      </c>
      <c r="P318" s="13">
        <v>3.99</v>
      </c>
      <c r="Q318" s="11" t="str">
        <f>"3.9900"</f>
        <v>3.9900</v>
      </c>
      <c r="R318" s="10" t="str">
        <f t="shared" si="214"/>
        <v>C0004552</v>
      </c>
      <c r="S318" s="14" t="str">
        <f t="shared" si="215"/>
        <v>2129.8300</v>
      </c>
      <c r="T318" s="10">
        <v>25800</v>
      </c>
      <c r="U318" s="10">
        <v>1444</v>
      </c>
      <c r="V318" s="10" t="str">
        <f t="shared" si="216"/>
        <v>Printing Stationery &amp; Off Supp</v>
      </c>
      <c r="W318" s="10" t="str">
        <f t="shared" si="217"/>
        <v>Supplies and Services</v>
      </c>
      <c r="X318" s="10" t="str">
        <f>VLOOKUP(U318,'[1]Account code lookup'!A:B,2,0)</f>
        <v>Stationery</v>
      </c>
      <c r="Z318" s="10" t="str">
        <f t="shared" si="205"/>
        <v>Environmental Services</v>
      </c>
      <c r="AA318" s="10" t="str">
        <f t="shared" si="206"/>
        <v>Operations and Delivery</v>
      </c>
      <c r="AB318" s="10" t="str">
        <f t="shared" si="207"/>
        <v>5oad</v>
      </c>
      <c r="AD318" s="10" t="str">
        <f t="shared" si="208"/>
        <v>oad02</v>
      </c>
      <c r="AE318" s="10" t="str">
        <f t="shared" si="218"/>
        <v>Environmental Services / Environmental Services Admin</v>
      </c>
      <c r="AG318" s="10" t="str">
        <f t="shared" si="209"/>
        <v>25800/1444</v>
      </c>
      <c r="AI318" s="10" t="str">
        <f t="shared" si="219"/>
        <v>14suse</v>
      </c>
      <c r="AJ318" s="15" t="str">
        <f>"LYRECO WHITE C5 SELF SEAL WINDOW ENVELOPES 90GSM - BOX OF 500"</f>
        <v>LYRECO WHITE C5 SELF SEAL WINDOW ENVELOPES 90GSM - BOX OF 500</v>
      </c>
      <c r="AK318" s="10" t="str">
        <f t="shared" si="220"/>
        <v>Revenue</v>
      </c>
      <c r="AL318" s="10" t="str">
        <f>""</f>
        <v/>
      </c>
      <c r="AM318" s="10" t="str">
        <f>""</f>
        <v/>
      </c>
      <c r="AN318" s="10" t="str">
        <f>""</f>
        <v/>
      </c>
      <c r="AO318" s="10" t="str">
        <f>""</f>
        <v/>
      </c>
    </row>
    <row r="319" spans="1:41" s="10" customFormat="1" ht="409.6">
      <c r="A319" s="9"/>
      <c r="B319" s="9"/>
      <c r="C319" s="9"/>
      <c r="D319" s="10" t="str">
        <f>"28049"</f>
        <v>28049</v>
      </c>
      <c r="E319" s="11" t="str">
        <f>""</f>
        <v/>
      </c>
      <c r="F319" s="11" t="str">
        <f t="shared" si="190"/>
        <v>372418</v>
      </c>
      <c r="G319" s="11" t="str">
        <f t="shared" si="191"/>
        <v>2017toJAN</v>
      </c>
      <c r="H319" s="11" t="str">
        <f t="shared" si="192"/>
        <v>CRSP06B</v>
      </c>
      <c r="I319" s="11" t="str">
        <f t="shared" si="193"/>
        <v>34</v>
      </c>
      <c r="J319" s="11" t="str">
        <f t="shared" si="194"/>
        <v>Creditor</v>
      </c>
      <c r="K319" s="11" t="str">
        <f t="shared" si="210"/>
        <v>CS000551</v>
      </c>
      <c r="L319" s="10" t="str">
        <f t="shared" si="211"/>
        <v>Lyreco UK Ltd</v>
      </c>
      <c r="M319" s="12" t="str">
        <f t="shared" si="212"/>
        <v>25/01/2017 00:00:00</v>
      </c>
      <c r="N319" s="12">
        <v>42760</v>
      </c>
      <c r="O319" s="10" t="str">
        <f t="shared" si="213"/>
        <v>C008069</v>
      </c>
      <c r="P319" s="13">
        <v>1.8</v>
      </c>
      <c r="Q319" s="11" t="str">
        <f>"1.8000"</f>
        <v>1.8000</v>
      </c>
      <c r="R319" s="10" t="str">
        <f t="shared" si="214"/>
        <v>C0004552</v>
      </c>
      <c r="S319" s="14" t="str">
        <f t="shared" si="215"/>
        <v>2129.8300</v>
      </c>
      <c r="T319" s="10">
        <v>25800</v>
      </c>
      <c r="U319" s="10">
        <v>1444</v>
      </c>
      <c r="V319" s="10" t="str">
        <f t="shared" si="216"/>
        <v>Printing Stationery &amp; Off Supp</v>
      </c>
      <c r="W319" s="10" t="str">
        <f t="shared" si="217"/>
        <v>Supplies and Services</v>
      </c>
      <c r="X319" s="10" t="str">
        <f>VLOOKUP(U319,'[1]Account code lookup'!A:B,2,0)</f>
        <v>Stationery</v>
      </c>
      <c r="Z319" s="10" t="str">
        <f t="shared" si="205"/>
        <v>Environmental Services</v>
      </c>
      <c r="AA319" s="10" t="str">
        <f t="shared" si="206"/>
        <v>Operations and Delivery</v>
      </c>
      <c r="AB319" s="10" t="str">
        <f t="shared" si="207"/>
        <v>5oad</v>
      </c>
      <c r="AD319" s="10" t="str">
        <f t="shared" si="208"/>
        <v>oad02</v>
      </c>
      <c r="AE319" s="10" t="str">
        <f t="shared" si="218"/>
        <v>Environmental Services / Environmental Services Admin</v>
      </c>
      <c r="AG319" s="10" t="str">
        <f t="shared" si="209"/>
        <v>25800/1444</v>
      </c>
      <c r="AI319" s="10" t="str">
        <f t="shared" si="219"/>
        <v>14suse</v>
      </c>
      <c r="AJ319" s="15" t="str">
        <f>"LYRECO WHITE DL PEEL &amp; SEAL WINDOW ENVELOPES 100GSM - BOX OF 500"</f>
        <v>LYRECO WHITE DL PEEL &amp; SEAL WINDOW ENVELOPES 100GSM - BOX OF 500</v>
      </c>
      <c r="AK319" s="10" t="str">
        <f t="shared" si="220"/>
        <v>Revenue</v>
      </c>
      <c r="AL319" s="10" t="str">
        <f>""</f>
        <v/>
      </c>
      <c r="AM319" s="10" t="str">
        <f>""</f>
        <v/>
      </c>
      <c r="AN319" s="10" t="str">
        <f>""</f>
        <v/>
      </c>
      <c r="AO319" s="10" t="str">
        <f>""</f>
        <v/>
      </c>
    </row>
    <row r="320" spans="1:41" s="10" customFormat="1" ht="409.6">
      <c r="A320" s="9"/>
      <c r="B320" s="9"/>
      <c r="C320" s="9"/>
      <c r="D320" s="10" t="str">
        <f>"28050"</f>
        <v>28050</v>
      </c>
      <c r="E320" s="11" t="str">
        <f>""</f>
        <v/>
      </c>
      <c r="F320" s="11" t="str">
        <f t="shared" si="190"/>
        <v>372418</v>
      </c>
      <c r="G320" s="11" t="str">
        <f t="shared" si="191"/>
        <v>2017toJAN</v>
      </c>
      <c r="H320" s="11" t="str">
        <f t="shared" si="192"/>
        <v>CRSP06B</v>
      </c>
      <c r="I320" s="11" t="str">
        <f t="shared" si="193"/>
        <v>34</v>
      </c>
      <c r="J320" s="11" t="str">
        <f t="shared" si="194"/>
        <v>Creditor</v>
      </c>
      <c r="K320" s="11" t="str">
        <f t="shared" si="210"/>
        <v>CS000551</v>
      </c>
      <c r="L320" s="10" t="str">
        <f t="shared" si="211"/>
        <v>Lyreco UK Ltd</v>
      </c>
      <c r="M320" s="12" t="str">
        <f t="shared" si="212"/>
        <v>25/01/2017 00:00:00</v>
      </c>
      <c r="N320" s="12">
        <v>42760</v>
      </c>
      <c r="O320" s="10" t="str">
        <f t="shared" si="213"/>
        <v>C008069</v>
      </c>
      <c r="P320" s="13">
        <v>2.57</v>
      </c>
      <c r="Q320" s="11" t="str">
        <f>"2.5700"</f>
        <v>2.5700</v>
      </c>
      <c r="R320" s="10" t="str">
        <f t="shared" si="214"/>
        <v>C0004552</v>
      </c>
      <c r="S320" s="14" t="str">
        <f t="shared" si="215"/>
        <v>2129.8300</v>
      </c>
      <c r="T320" s="10">
        <v>25800</v>
      </c>
      <c r="U320" s="10">
        <v>1444</v>
      </c>
      <c r="V320" s="10" t="str">
        <f t="shared" si="216"/>
        <v>Printing Stationery &amp; Off Supp</v>
      </c>
      <c r="W320" s="10" t="str">
        <f t="shared" si="217"/>
        <v>Supplies and Services</v>
      </c>
      <c r="X320" s="10" t="str">
        <f>VLOOKUP(U320,'[1]Account code lookup'!A:B,2,0)</f>
        <v>Stationery</v>
      </c>
      <c r="Z320" s="10" t="str">
        <f t="shared" si="205"/>
        <v>Environmental Services</v>
      </c>
      <c r="AA320" s="10" t="str">
        <f t="shared" si="206"/>
        <v>Operations and Delivery</v>
      </c>
      <c r="AB320" s="10" t="str">
        <f t="shared" si="207"/>
        <v>5oad</v>
      </c>
      <c r="AD320" s="10" t="str">
        <f t="shared" si="208"/>
        <v>oad02</v>
      </c>
      <c r="AE320" s="10" t="str">
        <f t="shared" si="218"/>
        <v>Environmental Services / Environmental Services Admin</v>
      </c>
      <c r="AG320" s="10" t="str">
        <f t="shared" si="209"/>
        <v>25800/1444</v>
      </c>
      <c r="AI320" s="10" t="str">
        <f t="shared" si="219"/>
        <v>14suse</v>
      </c>
      <c r="AJ320" s="15" t="str">
        <f>"LYRECO WHITE DL PEEL AND SEAL PLAIN ENVELOPES 90GSM - BOX OF 500"</f>
        <v>LYRECO WHITE DL PEEL AND SEAL PLAIN ENVELOPES 90GSM - BOX OF 500</v>
      </c>
      <c r="AK320" s="10" t="str">
        <f t="shared" si="220"/>
        <v>Revenue</v>
      </c>
      <c r="AL320" s="10" t="str">
        <f>""</f>
        <v/>
      </c>
      <c r="AM320" s="10" t="str">
        <f>""</f>
        <v/>
      </c>
      <c r="AN320" s="10" t="str">
        <f>""</f>
        <v/>
      </c>
      <c r="AO320" s="10" t="str">
        <f>""</f>
        <v/>
      </c>
    </row>
    <row r="321" spans="1:41" s="10" customFormat="1" ht="409.6">
      <c r="A321" s="9"/>
      <c r="B321" s="9"/>
      <c r="C321" s="9"/>
      <c r="D321" s="10" t="str">
        <f>"29144"</f>
        <v>29144</v>
      </c>
      <c r="E321" s="11" t="str">
        <f>""</f>
        <v/>
      </c>
      <c r="F321" s="11" t="str">
        <f t="shared" si="190"/>
        <v>372418</v>
      </c>
      <c r="G321" s="11" t="str">
        <f t="shared" si="191"/>
        <v>2017toJAN</v>
      </c>
      <c r="H321" s="11" t="str">
        <f t="shared" si="192"/>
        <v>CRSP06B</v>
      </c>
      <c r="I321" s="11" t="str">
        <f t="shared" si="193"/>
        <v>34</v>
      </c>
      <c r="J321" s="11" t="str">
        <f t="shared" si="194"/>
        <v>Creditor</v>
      </c>
      <c r="K321" s="11" t="str">
        <f t="shared" si="210"/>
        <v>CS000551</v>
      </c>
      <c r="L321" s="10" t="str">
        <f t="shared" si="211"/>
        <v>Lyreco UK Ltd</v>
      </c>
      <c r="M321" s="12" t="str">
        <f t="shared" si="212"/>
        <v>25/01/2017 00:00:00</v>
      </c>
      <c r="N321" s="12">
        <v>42760</v>
      </c>
      <c r="O321" s="10" t="str">
        <f t="shared" si="213"/>
        <v>C008069</v>
      </c>
      <c r="P321" s="13">
        <v>29.68</v>
      </c>
      <c r="Q321" s="11" t="str">
        <f>"29.6800"</f>
        <v>29.6800</v>
      </c>
      <c r="R321" s="10" t="str">
        <f t="shared" si="214"/>
        <v>C0004552</v>
      </c>
      <c r="S321" s="14" t="str">
        <f t="shared" si="215"/>
        <v>2129.8300</v>
      </c>
      <c r="T321" s="10">
        <v>25800</v>
      </c>
      <c r="U321" s="10">
        <v>1444</v>
      </c>
      <c r="V321" s="10" t="str">
        <f t="shared" si="216"/>
        <v>Printing Stationery &amp; Off Supp</v>
      </c>
      <c r="W321" s="10" t="str">
        <f t="shared" si="217"/>
        <v>Supplies and Services</v>
      </c>
      <c r="X321" s="10" t="str">
        <f>VLOOKUP(U321,'[1]Account code lookup'!A:B,2,0)</f>
        <v>Stationery</v>
      </c>
      <c r="Z321" s="10" t="str">
        <f t="shared" si="205"/>
        <v>Environmental Services</v>
      </c>
      <c r="AA321" s="10" t="str">
        <f t="shared" si="206"/>
        <v>Operations and Delivery</v>
      </c>
      <c r="AB321" s="10" t="str">
        <f t="shared" si="207"/>
        <v>5oad</v>
      </c>
      <c r="AD321" s="10" t="str">
        <f t="shared" si="208"/>
        <v>oad02</v>
      </c>
      <c r="AE321" s="10" t="str">
        <f t="shared" si="218"/>
        <v>Environmental Services / Environmental Services Admin</v>
      </c>
      <c r="AG321" s="10" t="str">
        <f t="shared" si="209"/>
        <v>25800/1444</v>
      </c>
      <c r="AI321" s="10" t="str">
        <f t="shared" si="219"/>
        <v>14suse</v>
      </c>
      <c r="AJ321" s="15" t="str">
        <f>"THERMAL TILL ROLLS 57 X 48 X 12.7MM - BOX OF 20"</f>
        <v>THERMAL TILL ROLLS 57 X 48 X 12.7MM - BOX OF 20</v>
      </c>
      <c r="AK321" s="10" t="str">
        <f t="shared" si="220"/>
        <v>Revenue</v>
      </c>
      <c r="AL321" s="10" t="str">
        <f>""</f>
        <v/>
      </c>
      <c r="AM321" s="10" t="str">
        <f>""</f>
        <v/>
      </c>
      <c r="AN321" s="10" t="str">
        <f>""</f>
        <v/>
      </c>
      <c r="AO321" s="10" t="str">
        <f>""</f>
        <v/>
      </c>
    </row>
    <row r="322" spans="1:41" s="10" customFormat="1" ht="409.6">
      <c r="A322" s="9"/>
      <c r="B322" s="9"/>
      <c r="C322" s="9"/>
      <c r="D322" s="10" t="str">
        <f>"29170"</f>
        <v>29170</v>
      </c>
      <c r="E322" s="11" t="str">
        <f>""</f>
        <v/>
      </c>
      <c r="F322" s="11" t="str">
        <f t="shared" si="190"/>
        <v>372418</v>
      </c>
      <c r="G322" s="11" t="str">
        <f t="shared" si="191"/>
        <v>2017toJAN</v>
      </c>
      <c r="H322" s="11" t="str">
        <f t="shared" si="192"/>
        <v>CRSP06B</v>
      </c>
      <c r="I322" s="11" t="str">
        <f t="shared" si="193"/>
        <v>34</v>
      </c>
      <c r="J322" s="11" t="str">
        <f t="shared" si="194"/>
        <v>Creditor</v>
      </c>
      <c r="K322" s="11" t="str">
        <f t="shared" si="210"/>
        <v>CS000551</v>
      </c>
      <c r="L322" s="10" t="str">
        <f t="shared" si="211"/>
        <v>Lyreco UK Ltd</v>
      </c>
      <c r="M322" s="12" t="str">
        <f t="shared" si="212"/>
        <v>25/01/2017 00:00:00</v>
      </c>
      <c r="N322" s="12">
        <v>42760</v>
      </c>
      <c r="O322" s="10" t="str">
        <f t="shared" si="213"/>
        <v>C008069</v>
      </c>
      <c r="P322" s="13">
        <v>2.72</v>
      </c>
      <c r="Q322" s="11" t="str">
        <f>"2.7200"</f>
        <v>2.7200</v>
      </c>
      <c r="R322" s="10" t="str">
        <f t="shared" si="214"/>
        <v>C0004552</v>
      </c>
      <c r="S322" s="14" t="str">
        <f t="shared" si="215"/>
        <v>2129.8300</v>
      </c>
      <c r="T322" s="10">
        <v>28650</v>
      </c>
      <c r="U322" s="10">
        <v>1444</v>
      </c>
      <c r="V322" s="10" t="str">
        <f t="shared" si="216"/>
        <v>Printing Stationery &amp; Off Supp</v>
      </c>
      <c r="W322" s="10" t="str">
        <f t="shared" si="217"/>
        <v>Supplies and Services</v>
      </c>
      <c r="X322" s="10" t="str">
        <f>VLOOKUP(U322,'[1]Account code lookup'!A:B,2,0)</f>
        <v>Stationery</v>
      </c>
      <c r="Z322" s="10" t="str">
        <f t="shared" ref="Z322:Z343" si="221">"Regeneration and Housing"</f>
        <v>Regeneration and Housing</v>
      </c>
      <c r="AA322" s="10" t="str">
        <f t="shared" ref="AA322:AA343" si="222">"Commercial Development"</f>
        <v>Commercial Development</v>
      </c>
      <c r="AB322" s="10" t="str">
        <f t="shared" ref="AB322:AB343" si="223">"2cdb"</f>
        <v>2cdb</v>
      </c>
      <c r="AD322" s="10" t="str">
        <f t="shared" ref="AD322:AD343" si="224">"cdb02"</f>
        <v>cdb02</v>
      </c>
      <c r="AE322" s="10" t="str">
        <f t="shared" si="218"/>
        <v>Environmental Services / Environmental Services Admin</v>
      </c>
      <c r="AG322" s="10" t="str">
        <f t="shared" ref="AG322:AG343" si="225">"28650/1444"</f>
        <v>28650/1444</v>
      </c>
      <c r="AI322" s="10" t="str">
        <f t="shared" si="219"/>
        <v>14suse</v>
      </c>
      <c r="AJ322" s="15" t="str">
        <f>"ENERGIZER 1ST PRICE BATTERIES LR03/AAA - PACK OF 10"</f>
        <v>ENERGIZER 1ST PRICE BATTERIES LR03/AAA - PACK OF 10</v>
      </c>
      <c r="AK322" s="10" t="str">
        <f t="shared" si="220"/>
        <v>Revenue</v>
      </c>
      <c r="AL322" s="10" t="str">
        <f>""</f>
        <v/>
      </c>
      <c r="AM322" s="10" t="str">
        <f>""</f>
        <v/>
      </c>
      <c r="AN322" s="10" t="str">
        <f>""</f>
        <v/>
      </c>
      <c r="AO322" s="10" t="str">
        <f>""</f>
        <v/>
      </c>
    </row>
    <row r="323" spans="1:41" s="10" customFormat="1" ht="409.6">
      <c r="A323" s="9"/>
      <c r="B323" s="9"/>
      <c r="C323" s="9"/>
      <c r="D323" s="10" t="str">
        <f>"29485"</f>
        <v>29485</v>
      </c>
      <c r="E323" s="11" t="str">
        <f>""</f>
        <v/>
      </c>
      <c r="F323" s="11" t="str">
        <f t="shared" si="190"/>
        <v>372418</v>
      </c>
      <c r="G323" s="11" t="str">
        <f t="shared" si="191"/>
        <v>2017toJAN</v>
      </c>
      <c r="H323" s="11" t="str">
        <f t="shared" si="192"/>
        <v>CRSP06B</v>
      </c>
      <c r="I323" s="11" t="str">
        <f t="shared" si="193"/>
        <v>34</v>
      </c>
      <c r="J323" s="11" t="str">
        <f t="shared" si="194"/>
        <v>Creditor</v>
      </c>
      <c r="K323" s="11" t="str">
        <f t="shared" si="210"/>
        <v>CS000551</v>
      </c>
      <c r="L323" s="10" t="str">
        <f t="shared" si="211"/>
        <v>Lyreco UK Ltd</v>
      </c>
      <c r="M323" s="12" t="str">
        <f t="shared" si="212"/>
        <v>25/01/2017 00:00:00</v>
      </c>
      <c r="N323" s="12">
        <v>42760</v>
      </c>
      <c r="O323" s="10" t="str">
        <f t="shared" si="213"/>
        <v>C008069</v>
      </c>
      <c r="P323" s="13">
        <v>27</v>
      </c>
      <c r="Q323" s="11" t="str">
        <f>"27.0000"</f>
        <v>27.0000</v>
      </c>
      <c r="R323" s="10" t="str">
        <f t="shared" si="214"/>
        <v>C0004552</v>
      </c>
      <c r="S323" s="14" t="str">
        <f t="shared" si="215"/>
        <v>2129.8300</v>
      </c>
      <c r="T323" s="10">
        <v>28650</v>
      </c>
      <c r="U323" s="10">
        <v>1444</v>
      </c>
      <c r="V323" s="10" t="str">
        <f t="shared" si="216"/>
        <v>Printing Stationery &amp; Off Supp</v>
      </c>
      <c r="W323" s="10" t="str">
        <f t="shared" si="217"/>
        <v>Supplies and Services</v>
      </c>
      <c r="X323" s="10" t="str">
        <f>VLOOKUP(U323,'[1]Account code lookup'!A:B,2,0)</f>
        <v>Stationery</v>
      </c>
      <c r="Z323" s="10" t="str">
        <f t="shared" si="221"/>
        <v>Regeneration and Housing</v>
      </c>
      <c r="AA323" s="10" t="str">
        <f t="shared" si="222"/>
        <v>Commercial Development</v>
      </c>
      <c r="AB323" s="10" t="str">
        <f t="shared" si="223"/>
        <v>2cdb</v>
      </c>
      <c r="AD323" s="10" t="str">
        <f t="shared" si="224"/>
        <v>cdb02</v>
      </c>
      <c r="AE323" s="10" t="str">
        <f t="shared" si="218"/>
        <v>Environmental Services / Environmental Services Admin</v>
      </c>
      <c r="AG323" s="10" t="str">
        <f t="shared" si="225"/>
        <v>28650/1444</v>
      </c>
      <c r="AI323" s="10" t="str">
        <f t="shared" si="219"/>
        <v>14suse</v>
      </c>
      <c r="AJ323" s="15" t="str">
        <f>"LYRECO A4 PUNCHED POCKETS 80 MICRONS - PACK OF 100"</f>
        <v>LYRECO A4 PUNCHED POCKETS 80 MICRONS - PACK OF 100</v>
      </c>
      <c r="AK323" s="10" t="str">
        <f t="shared" si="220"/>
        <v>Revenue</v>
      </c>
      <c r="AL323" s="10" t="str">
        <f>""</f>
        <v/>
      </c>
      <c r="AM323" s="10" t="str">
        <f>""</f>
        <v/>
      </c>
      <c r="AN323" s="10" t="str">
        <f>""</f>
        <v/>
      </c>
      <c r="AO323" s="10" t="str">
        <f>""</f>
        <v/>
      </c>
    </row>
    <row r="324" spans="1:41" s="10" customFormat="1" ht="409.6">
      <c r="A324" s="9"/>
      <c r="B324" s="9"/>
      <c r="C324" s="9"/>
      <c r="D324" s="10" t="str">
        <f>"29569"</f>
        <v>29569</v>
      </c>
      <c r="E324" s="11" t="str">
        <f>""</f>
        <v/>
      </c>
      <c r="F324" s="11" t="str">
        <f t="shared" si="190"/>
        <v>372418</v>
      </c>
      <c r="G324" s="11" t="str">
        <f t="shared" si="191"/>
        <v>2017toJAN</v>
      </c>
      <c r="H324" s="11" t="str">
        <f t="shared" si="192"/>
        <v>CRSP06B</v>
      </c>
      <c r="I324" s="11" t="str">
        <f t="shared" si="193"/>
        <v>34</v>
      </c>
      <c r="J324" s="11" t="str">
        <f t="shared" si="194"/>
        <v>Creditor</v>
      </c>
      <c r="K324" s="11" t="str">
        <f t="shared" si="210"/>
        <v>CS000551</v>
      </c>
      <c r="L324" s="10" t="str">
        <f t="shared" si="211"/>
        <v>Lyreco UK Ltd</v>
      </c>
      <c r="M324" s="12" t="str">
        <f t="shared" si="212"/>
        <v>25/01/2017 00:00:00</v>
      </c>
      <c r="N324" s="12">
        <v>42760</v>
      </c>
      <c r="O324" s="10" t="str">
        <f t="shared" si="213"/>
        <v>C008069</v>
      </c>
      <c r="P324" s="13">
        <v>27</v>
      </c>
      <c r="Q324" s="11" t="str">
        <f>"27.0000"</f>
        <v>27.0000</v>
      </c>
      <c r="R324" s="10" t="str">
        <f t="shared" si="214"/>
        <v>C0004552</v>
      </c>
      <c r="S324" s="14" t="str">
        <f t="shared" si="215"/>
        <v>2129.8300</v>
      </c>
      <c r="T324" s="10">
        <v>28650</v>
      </c>
      <c r="U324" s="10">
        <v>1444</v>
      </c>
      <c r="V324" s="10" t="str">
        <f t="shared" si="216"/>
        <v>Printing Stationery &amp; Off Supp</v>
      </c>
      <c r="W324" s="10" t="str">
        <f t="shared" si="217"/>
        <v>Supplies and Services</v>
      </c>
      <c r="X324" s="10" t="str">
        <f>VLOOKUP(U324,'[1]Account code lookup'!A:B,2,0)</f>
        <v>Stationery</v>
      </c>
      <c r="Z324" s="10" t="str">
        <f t="shared" si="221"/>
        <v>Regeneration and Housing</v>
      </c>
      <c r="AA324" s="10" t="str">
        <f t="shared" si="222"/>
        <v>Commercial Development</v>
      </c>
      <c r="AB324" s="10" t="str">
        <f t="shared" si="223"/>
        <v>2cdb</v>
      </c>
      <c r="AD324" s="10" t="str">
        <f t="shared" si="224"/>
        <v>cdb02</v>
      </c>
      <c r="AE324" s="10" t="str">
        <f t="shared" si="218"/>
        <v>Environmental Services / Environmental Services Admin</v>
      </c>
      <c r="AG324" s="10" t="str">
        <f t="shared" si="225"/>
        <v>28650/1444</v>
      </c>
      <c r="AI324" s="10" t="str">
        <f t="shared" si="219"/>
        <v>14suse</v>
      </c>
      <c r="AJ324" s="15" t="str">
        <f>"LYRECO A4 PUNCHED POCKETS 80 MICRONS - PACK OF 100"</f>
        <v>LYRECO A4 PUNCHED POCKETS 80 MICRONS - PACK OF 100</v>
      </c>
      <c r="AK324" s="10" t="str">
        <f t="shared" si="220"/>
        <v>Revenue</v>
      </c>
      <c r="AL324" s="10" t="str">
        <f>""</f>
        <v/>
      </c>
      <c r="AM324" s="10" t="str">
        <f>""</f>
        <v/>
      </c>
      <c r="AN324" s="10" t="str">
        <f>""</f>
        <v/>
      </c>
      <c r="AO324" s="10" t="str">
        <f>""</f>
        <v/>
      </c>
    </row>
    <row r="325" spans="1:41" s="10" customFormat="1" ht="409.6">
      <c r="A325" s="9"/>
      <c r="B325" s="9"/>
      <c r="C325" s="9"/>
      <c r="D325" s="10" t="str">
        <f>"29892"</f>
        <v>29892</v>
      </c>
      <c r="E325" s="11" t="str">
        <f>""</f>
        <v/>
      </c>
      <c r="F325" s="11" t="str">
        <f t="shared" si="190"/>
        <v>372418</v>
      </c>
      <c r="G325" s="11" t="str">
        <f t="shared" si="191"/>
        <v>2017toJAN</v>
      </c>
      <c r="H325" s="11" t="str">
        <f t="shared" si="192"/>
        <v>CRSP06B</v>
      </c>
      <c r="I325" s="11" t="str">
        <f t="shared" si="193"/>
        <v>34</v>
      </c>
      <c r="J325" s="11" t="str">
        <f t="shared" si="194"/>
        <v>Creditor</v>
      </c>
      <c r="K325" s="11" t="str">
        <f t="shared" si="210"/>
        <v>CS000551</v>
      </c>
      <c r="L325" s="10" t="str">
        <f t="shared" si="211"/>
        <v>Lyreco UK Ltd</v>
      </c>
      <c r="M325" s="12" t="str">
        <f t="shared" si="212"/>
        <v>25/01/2017 00:00:00</v>
      </c>
      <c r="N325" s="12">
        <v>42760</v>
      </c>
      <c r="O325" s="10" t="str">
        <f t="shared" si="213"/>
        <v>C008069</v>
      </c>
      <c r="P325" s="13">
        <v>6.06</v>
      </c>
      <c r="Q325" s="11" t="str">
        <f>"6.0600"</f>
        <v>6.0600</v>
      </c>
      <c r="R325" s="10" t="str">
        <f t="shared" si="214"/>
        <v>C0004552</v>
      </c>
      <c r="S325" s="14" t="str">
        <f t="shared" si="215"/>
        <v>2129.8300</v>
      </c>
      <c r="T325" s="10">
        <v>28650</v>
      </c>
      <c r="U325" s="10">
        <v>1444</v>
      </c>
      <c r="V325" s="10" t="str">
        <f t="shared" si="216"/>
        <v>Printing Stationery &amp; Off Supp</v>
      </c>
      <c r="W325" s="10" t="str">
        <f t="shared" si="217"/>
        <v>Supplies and Services</v>
      </c>
      <c r="X325" s="10" t="str">
        <f>VLOOKUP(U325,'[1]Account code lookup'!A:B,2,0)</f>
        <v>Stationery</v>
      </c>
      <c r="Z325" s="10" t="str">
        <f t="shared" si="221"/>
        <v>Regeneration and Housing</v>
      </c>
      <c r="AA325" s="10" t="str">
        <f t="shared" si="222"/>
        <v>Commercial Development</v>
      </c>
      <c r="AB325" s="10" t="str">
        <f t="shared" si="223"/>
        <v>2cdb</v>
      </c>
      <c r="AD325" s="10" t="str">
        <f t="shared" si="224"/>
        <v>cdb02</v>
      </c>
      <c r="AE325" s="10" t="str">
        <f t="shared" si="218"/>
        <v>Environmental Services / Environmental Services Admin</v>
      </c>
      <c r="AG325" s="10" t="str">
        <f t="shared" si="225"/>
        <v>28650/1444</v>
      </c>
      <c r="AI325" s="10" t="str">
        <f t="shared" si="219"/>
        <v>14suse</v>
      </c>
      <c r="AJ325" s="15" t="str">
        <f>"LYRECO A5 DESK DIARY BLACK - WEEK TO VIEW"</f>
        <v>LYRECO A5 DESK DIARY BLACK - WEEK TO VIEW</v>
      </c>
      <c r="AK325" s="10" t="str">
        <f t="shared" si="220"/>
        <v>Revenue</v>
      </c>
      <c r="AL325" s="10" t="str">
        <f>""</f>
        <v/>
      </c>
      <c r="AM325" s="10" t="str">
        <f>""</f>
        <v/>
      </c>
      <c r="AN325" s="10" t="str">
        <f>""</f>
        <v/>
      </c>
      <c r="AO325" s="10" t="str">
        <f>""</f>
        <v/>
      </c>
    </row>
    <row r="326" spans="1:41" s="10" customFormat="1" ht="409.6">
      <c r="A326" s="9"/>
      <c r="B326" s="9"/>
      <c r="C326" s="9"/>
      <c r="D326" s="10" t="str">
        <f>"32011"</f>
        <v>32011</v>
      </c>
      <c r="E326" s="11" t="str">
        <f>""</f>
        <v/>
      </c>
      <c r="F326" s="11" t="str">
        <f t="shared" si="190"/>
        <v>372418</v>
      </c>
      <c r="G326" s="11" t="str">
        <f t="shared" si="191"/>
        <v>2017toJAN</v>
      </c>
      <c r="H326" s="11" t="str">
        <f t="shared" si="192"/>
        <v>CRSP06B</v>
      </c>
      <c r="I326" s="11" t="str">
        <f t="shared" si="193"/>
        <v>34</v>
      </c>
      <c r="J326" s="11" t="str">
        <f t="shared" si="194"/>
        <v>Creditor</v>
      </c>
      <c r="K326" s="11" t="str">
        <f t="shared" si="210"/>
        <v>CS000551</v>
      </c>
      <c r="L326" s="10" t="str">
        <f t="shared" si="211"/>
        <v>Lyreco UK Ltd</v>
      </c>
      <c r="M326" s="12" t="str">
        <f t="shared" si="212"/>
        <v>25/01/2017 00:00:00</v>
      </c>
      <c r="N326" s="12">
        <v>42760</v>
      </c>
      <c r="O326" s="10" t="str">
        <f t="shared" si="213"/>
        <v>C008069</v>
      </c>
      <c r="P326" s="13">
        <v>0.8</v>
      </c>
      <c r="Q326" s="11" t="str">
        <f>"0.8000"</f>
        <v>0.8000</v>
      </c>
      <c r="R326" s="10" t="str">
        <f t="shared" si="214"/>
        <v>C0004552</v>
      </c>
      <c r="S326" s="14" t="str">
        <f t="shared" si="215"/>
        <v>2129.8300</v>
      </c>
      <c r="T326" s="10">
        <v>28650</v>
      </c>
      <c r="U326" s="10">
        <v>1444</v>
      </c>
      <c r="V326" s="10" t="str">
        <f t="shared" si="216"/>
        <v>Printing Stationery &amp; Off Supp</v>
      </c>
      <c r="W326" s="10" t="str">
        <f t="shared" si="217"/>
        <v>Supplies and Services</v>
      </c>
      <c r="X326" s="10" t="str">
        <f>VLOOKUP(U326,'[1]Account code lookup'!A:B,2,0)</f>
        <v>Stationery</v>
      </c>
      <c r="Z326" s="10" t="str">
        <f t="shared" si="221"/>
        <v>Regeneration and Housing</v>
      </c>
      <c r="AA326" s="10" t="str">
        <f t="shared" si="222"/>
        <v>Commercial Development</v>
      </c>
      <c r="AB326" s="10" t="str">
        <f t="shared" si="223"/>
        <v>2cdb</v>
      </c>
      <c r="AD326" s="10" t="str">
        <f t="shared" si="224"/>
        <v>cdb02</v>
      </c>
      <c r="AE326" s="10" t="str">
        <f t="shared" si="218"/>
        <v>Environmental Services / Environmental Services Admin</v>
      </c>
      <c r="AG326" s="10" t="str">
        <f t="shared" si="225"/>
        <v>28650/1444</v>
      </c>
      <c r="AI326" s="10" t="str">
        <f t="shared" si="219"/>
        <v>14suse</v>
      </c>
      <c r="AJ326" s="15" t="str">
        <f>"LYRECO BUDGET ASSORTED COLOUR A4 10 PART DIVIDERS 160GSM"</f>
        <v>LYRECO BUDGET ASSORTED COLOUR A4 10 PART DIVIDERS 160GSM</v>
      </c>
      <c r="AK326" s="10" t="str">
        <f t="shared" si="220"/>
        <v>Revenue</v>
      </c>
      <c r="AL326" s="10" t="str">
        <f>""</f>
        <v/>
      </c>
      <c r="AM326" s="10" t="str">
        <f>""</f>
        <v/>
      </c>
      <c r="AN326" s="10" t="str">
        <f>""</f>
        <v/>
      </c>
      <c r="AO326" s="10" t="str">
        <f>""</f>
        <v/>
      </c>
    </row>
    <row r="327" spans="1:41" s="10" customFormat="1" ht="409.6">
      <c r="A327" s="9"/>
      <c r="B327" s="9"/>
      <c r="C327" s="9"/>
      <c r="D327" s="10" t="str">
        <f>"32012"</f>
        <v>32012</v>
      </c>
      <c r="E327" s="11" t="str">
        <f>""</f>
        <v/>
      </c>
      <c r="F327" s="11" t="str">
        <f t="shared" si="190"/>
        <v>372418</v>
      </c>
      <c r="G327" s="11" t="str">
        <f t="shared" si="191"/>
        <v>2017toJAN</v>
      </c>
      <c r="H327" s="11" t="str">
        <f t="shared" si="192"/>
        <v>CRSP06B</v>
      </c>
      <c r="I327" s="11" t="str">
        <f t="shared" si="193"/>
        <v>34</v>
      </c>
      <c r="J327" s="11" t="str">
        <f t="shared" si="194"/>
        <v>Creditor</v>
      </c>
      <c r="K327" s="11" t="str">
        <f t="shared" si="210"/>
        <v>CS000551</v>
      </c>
      <c r="L327" s="10" t="str">
        <f t="shared" si="211"/>
        <v>Lyreco UK Ltd</v>
      </c>
      <c r="M327" s="12" t="str">
        <f t="shared" si="212"/>
        <v>25/01/2017 00:00:00</v>
      </c>
      <c r="N327" s="12">
        <v>42760</v>
      </c>
      <c r="O327" s="10" t="str">
        <f t="shared" si="213"/>
        <v>C008069</v>
      </c>
      <c r="P327" s="13">
        <v>1.1000000000000001</v>
      </c>
      <c r="Q327" s="11" t="str">
        <f>"1.1000"</f>
        <v>1.1000</v>
      </c>
      <c r="R327" s="10" t="str">
        <f t="shared" si="214"/>
        <v>C0004552</v>
      </c>
      <c r="S327" s="14" t="str">
        <f t="shared" si="215"/>
        <v>2129.8300</v>
      </c>
      <c r="T327" s="10">
        <v>28650</v>
      </c>
      <c r="U327" s="10">
        <v>1444</v>
      </c>
      <c r="V327" s="10" t="str">
        <f t="shared" si="216"/>
        <v>Printing Stationery &amp; Off Supp</v>
      </c>
      <c r="W327" s="10" t="str">
        <f t="shared" si="217"/>
        <v>Supplies and Services</v>
      </c>
      <c r="X327" s="10" t="str">
        <f>VLOOKUP(U327,'[1]Account code lookup'!A:B,2,0)</f>
        <v>Stationery</v>
      </c>
      <c r="Z327" s="10" t="str">
        <f t="shared" si="221"/>
        <v>Regeneration and Housing</v>
      </c>
      <c r="AA327" s="10" t="str">
        <f t="shared" si="222"/>
        <v>Commercial Development</v>
      </c>
      <c r="AB327" s="10" t="str">
        <f t="shared" si="223"/>
        <v>2cdb</v>
      </c>
      <c r="AD327" s="10" t="str">
        <f t="shared" si="224"/>
        <v>cdb02</v>
      </c>
      <c r="AE327" s="10" t="str">
        <f t="shared" si="218"/>
        <v>Environmental Services / Environmental Services Admin</v>
      </c>
      <c r="AG327" s="10" t="str">
        <f t="shared" si="225"/>
        <v>28650/1444</v>
      </c>
      <c r="AI327" s="10" t="str">
        <f t="shared" si="219"/>
        <v>14suse</v>
      </c>
      <c r="AJ327" s="15" t="str">
        <f>"LYRECO BUDGET ASSORTED COLOUR A4 5 PART DIVIDERS 160GSM"</f>
        <v>LYRECO BUDGET ASSORTED COLOUR A4 5 PART DIVIDERS 160GSM</v>
      </c>
      <c r="AK327" s="10" t="str">
        <f t="shared" si="220"/>
        <v>Revenue</v>
      </c>
      <c r="AL327" s="10" t="str">
        <f>""</f>
        <v/>
      </c>
      <c r="AM327" s="10" t="str">
        <f>""</f>
        <v/>
      </c>
      <c r="AN327" s="10" t="str">
        <f>""</f>
        <v/>
      </c>
      <c r="AO327" s="10" t="str">
        <f>""</f>
        <v/>
      </c>
    </row>
    <row r="328" spans="1:41" s="10" customFormat="1" ht="409.6">
      <c r="A328" s="9"/>
      <c r="B328" s="9"/>
      <c r="C328" s="9"/>
      <c r="D328" s="10" t="str">
        <f>"32047"</f>
        <v>32047</v>
      </c>
      <c r="E328" s="11" t="str">
        <f>""</f>
        <v/>
      </c>
      <c r="F328" s="11" t="str">
        <f t="shared" si="190"/>
        <v>372418</v>
      </c>
      <c r="G328" s="11" t="str">
        <f t="shared" si="191"/>
        <v>2017toJAN</v>
      </c>
      <c r="H328" s="11" t="str">
        <f t="shared" si="192"/>
        <v>CRSP06B</v>
      </c>
      <c r="I328" s="11" t="str">
        <f t="shared" si="193"/>
        <v>34</v>
      </c>
      <c r="J328" s="11" t="str">
        <f t="shared" si="194"/>
        <v>Creditor</v>
      </c>
      <c r="K328" s="11" t="str">
        <f t="shared" si="210"/>
        <v>CS000551</v>
      </c>
      <c r="L328" s="10" t="str">
        <f t="shared" si="211"/>
        <v>Lyreco UK Ltd</v>
      </c>
      <c r="M328" s="12" t="str">
        <f t="shared" si="212"/>
        <v>25/01/2017 00:00:00</v>
      </c>
      <c r="N328" s="12">
        <v>42760</v>
      </c>
      <c r="O328" s="10" t="str">
        <f t="shared" si="213"/>
        <v>C008069</v>
      </c>
      <c r="P328" s="13">
        <v>3.36</v>
      </c>
      <c r="Q328" s="11" t="str">
        <f>"3.3600"</f>
        <v>3.3600</v>
      </c>
      <c r="R328" s="10" t="str">
        <f t="shared" si="214"/>
        <v>C0004552</v>
      </c>
      <c r="S328" s="14" t="str">
        <f t="shared" si="215"/>
        <v>2129.8300</v>
      </c>
      <c r="T328" s="10">
        <v>28650</v>
      </c>
      <c r="U328" s="10">
        <v>1444</v>
      </c>
      <c r="V328" s="10" t="str">
        <f t="shared" si="216"/>
        <v>Printing Stationery &amp; Off Supp</v>
      </c>
      <c r="W328" s="10" t="str">
        <f t="shared" si="217"/>
        <v>Supplies and Services</v>
      </c>
      <c r="X328" s="10" t="str">
        <f>VLOOKUP(U328,'[1]Account code lookup'!A:B,2,0)</f>
        <v>Stationery</v>
      </c>
      <c r="Z328" s="10" t="str">
        <f t="shared" si="221"/>
        <v>Regeneration and Housing</v>
      </c>
      <c r="AA328" s="10" t="str">
        <f t="shared" si="222"/>
        <v>Commercial Development</v>
      </c>
      <c r="AB328" s="10" t="str">
        <f t="shared" si="223"/>
        <v>2cdb</v>
      </c>
      <c r="AD328" s="10" t="str">
        <f t="shared" si="224"/>
        <v>cdb02</v>
      </c>
      <c r="AE328" s="10" t="str">
        <f t="shared" si="218"/>
        <v>Environmental Services / Environmental Services Admin</v>
      </c>
      <c r="AG328" s="10" t="str">
        <f t="shared" si="225"/>
        <v>28650/1444</v>
      </c>
      <c r="AI328" s="10" t="str">
        <f t="shared" si="219"/>
        <v>14suse</v>
      </c>
      <c r="AJ328" s="15" t="str">
        <f>"LYRECO BUDGET CLEAR A4 CUT FLUSH PLASTIC FOLDERS 90 MICRONS - BOX OF 100"</f>
        <v>LYRECO BUDGET CLEAR A4 CUT FLUSH PLASTIC FOLDERS 90 MICRONS - BOX OF 100</v>
      </c>
      <c r="AK328" s="10" t="str">
        <f t="shared" si="220"/>
        <v>Revenue</v>
      </c>
      <c r="AL328" s="10" t="str">
        <f>""</f>
        <v/>
      </c>
      <c r="AM328" s="10" t="str">
        <f>""</f>
        <v/>
      </c>
      <c r="AN328" s="10" t="str">
        <f>""</f>
        <v/>
      </c>
      <c r="AO328" s="10" t="str">
        <f>""</f>
        <v/>
      </c>
    </row>
    <row r="329" spans="1:41" s="10" customFormat="1" ht="409.6">
      <c r="A329" s="9"/>
      <c r="B329" s="9"/>
      <c r="C329" s="9"/>
      <c r="D329" s="10" t="str">
        <f>"32168"</f>
        <v>32168</v>
      </c>
      <c r="E329" s="11" t="str">
        <f>""</f>
        <v/>
      </c>
      <c r="F329" s="11" t="str">
        <f t="shared" si="190"/>
        <v>372418</v>
      </c>
      <c r="G329" s="11" t="str">
        <f t="shared" si="191"/>
        <v>2017toJAN</v>
      </c>
      <c r="H329" s="11" t="str">
        <f t="shared" si="192"/>
        <v>CRSP06B</v>
      </c>
      <c r="I329" s="11" t="str">
        <f t="shared" si="193"/>
        <v>34</v>
      </c>
      <c r="J329" s="11" t="str">
        <f t="shared" si="194"/>
        <v>Creditor</v>
      </c>
      <c r="K329" s="11" t="str">
        <f t="shared" si="210"/>
        <v>CS000551</v>
      </c>
      <c r="L329" s="10" t="str">
        <f t="shared" si="211"/>
        <v>Lyreco UK Ltd</v>
      </c>
      <c r="M329" s="12" t="str">
        <f t="shared" si="212"/>
        <v>25/01/2017 00:00:00</v>
      </c>
      <c r="N329" s="12">
        <v>42760</v>
      </c>
      <c r="O329" s="10" t="str">
        <f t="shared" si="213"/>
        <v>C008069</v>
      </c>
      <c r="P329" s="13">
        <v>2.2000000000000002</v>
      </c>
      <c r="Q329" s="11" t="str">
        <f>"2.2000"</f>
        <v>2.2000</v>
      </c>
      <c r="R329" s="10" t="str">
        <f t="shared" si="214"/>
        <v>C0004552</v>
      </c>
      <c r="S329" s="14" t="str">
        <f t="shared" si="215"/>
        <v>2129.8300</v>
      </c>
      <c r="T329" s="10">
        <v>28650</v>
      </c>
      <c r="U329" s="10">
        <v>1444</v>
      </c>
      <c r="V329" s="10" t="str">
        <f t="shared" si="216"/>
        <v>Printing Stationery &amp; Off Supp</v>
      </c>
      <c r="W329" s="10" t="str">
        <f t="shared" si="217"/>
        <v>Supplies and Services</v>
      </c>
      <c r="X329" s="10" t="str">
        <f>VLOOKUP(U329,'[1]Account code lookup'!A:B,2,0)</f>
        <v>Stationery</v>
      </c>
      <c r="Z329" s="10" t="str">
        <f t="shared" si="221"/>
        <v>Regeneration and Housing</v>
      </c>
      <c r="AA329" s="10" t="str">
        <f t="shared" si="222"/>
        <v>Commercial Development</v>
      </c>
      <c r="AB329" s="10" t="str">
        <f t="shared" si="223"/>
        <v>2cdb</v>
      </c>
      <c r="AD329" s="10" t="str">
        <f t="shared" si="224"/>
        <v>cdb02</v>
      </c>
      <c r="AE329" s="10" t="str">
        <f t="shared" si="218"/>
        <v>Environmental Services / Environmental Services Admin</v>
      </c>
      <c r="AG329" s="10" t="str">
        <f t="shared" si="225"/>
        <v>28650/1444</v>
      </c>
      <c r="AI329" s="10" t="str">
        <f t="shared" si="219"/>
        <v>14suse</v>
      </c>
      <c r="AJ329" s="15" t="str">
        <f>"LYRECO BUDGET WHITE 8 X 5INCH SHORTHAND NOTEBOOKS (RULED) - PACK OF 20(X80 SHTS)"</f>
        <v>LYRECO BUDGET WHITE 8 X 5INCH SHORTHAND NOTEBOOKS (RULED) - PACK OF 20(X80 SHTS)</v>
      </c>
      <c r="AK329" s="10" t="str">
        <f t="shared" si="220"/>
        <v>Revenue</v>
      </c>
      <c r="AL329" s="10" t="str">
        <f>""</f>
        <v/>
      </c>
      <c r="AM329" s="10" t="str">
        <f>""</f>
        <v/>
      </c>
      <c r="AN329" s="10" t="str">
        <f>""</f>
        <v/>
      </c>
      <c r="AO329" s="10" t="str">
        <f>""</f>
        <v/>
      </c>
    </row>
    <row r="330" spans="1:41" s="10" customFormat="1" ht="409.6">
      <c r="A330" s="9"/>
      <c r="B330" s="9"/>
      <c r="C330" s="9"/>
      <c r="D330" s="10" t="str">
        <f>"32462"</f>
        <v>32462</v>
      </c>
      <c r="E330" s="11" t="str">
        <f>""</f>
        <v/>
      </c>
      <c r="F330" s="11" t="str">
        <f t="shared" si="190"/>
        <v>372418</v>
      </c>
      <c r="G330" s="11" t="str">
        <f t="shared" si="191"/>
        <v>2017toJAN</v>
      </c>
      <c r="H330" s="11" t="str">
        <f t="shared" si="192"/>
        <v>CRSP06B</v>
      </c>
      <c r="I330" s="11" t="str">
        <f t="shared" si="193"/>
        <v>34</v>
      </c>
      <c r="J330" s="11" t="str">
        <f t="shared" si="194"/>
        <v>Creditor</v>
      </c>
      <c r="K330" s="11" t="str">
        <f t="shared" si="210"/>
        <v>CS000551</v>
      </c>
      <c r="L330" s="10" t="str">
        <f t="shared" si="211"/>
        <v>Lyreco UK Ltd</v>
      </c>
      <c r="M330" s="12" t="str">
        <f t="shared" si="212"/>
        <v>25/01/2017 00:00:00</v>
      </c>
      <c r="N330" s="12">
        <v>42760</v>
      </c>
      <c r="O330" s="10" t="str">
        <f t="shared" si="213"/>
        <v>C008069</v>
      </c>
      <c r="P330" s="13">
        <v>4.9000000000000004</v>
      </c>
      <c r="Q330" s="11" t="str">
        <f>"4.9000"</f>
        <v>4.9000</v>
      </c>
      <c r="R330" s="10" t="str">
        <f t="shared" si="214"/>
        <v>C0004552</v>
      </c>
      <c r="S330" s="14" t="str">
        <f t="shared" si="215"/>
        <v>2129.8300</v>
      </c>
      <c r="T330" s="10">
        <v>28650</v>
      </c>
      <c r="U330" s="10">
        <v>1444</v>
      </c>
      <c r="V330" s="10" t="str">
        <f t="shared" si="216"/>
        <v>Printing Stationery &amp; Off Supp</v>
      </c>
      <c r="W330" s="10" t="str">
        <f t="shared" si="217"/>
        <v>Supplies and Services</v>
      </c>
      <c r="X330" s="10" t="str">
        <f>VLOOKUP(U330,'[1]Account code lookup'!A:B,2,0)</f>
        <v>Stationery</v>
      </c>
      <c r="Z330" s="10" t="str">
        <f t="shared" si="221"/>
        <v>Regeneration and Housing</v>
      </c>
      <c r="AA330" s="10" t="str">
        <f t="shared" si="222"/>
        <v>Commercial Development</v>
      </c>
      <c r="AB330" s="10" t="str">
        <f t="shared" si="223"/>
        <v>2cdb</v>
      </c>
      <c r="AD330" s="10" t="str">
        <f t="shared" si="224"/>
        <v>cdb02</v>
      </c>
      <c r="AE330" s="10" t="str">
        <f t="shared" si="218"/>
        <v>Environmental Services / Environmental Services Admin</v>
      </c>
      <c r="AG330" s="10" t="str">
        <f t="shared" si="225"/>
        <v>28650/1444</v>
      </c>
      <c r="AI330" s="10" t="str">
        <f t="shared" si="219"/>
        <v>14suse</v>
      </c>
      <c r="AJ330" s="15" t="str">
        <f>"LYRECO DESK/WALL CALENDAR 260 X 210MM - YEAR TO VIEW"</f>
        <v>LYRECO DESK/WALL CALENDAR 260 X 210MM - YEAR TO VIEW</v>
      </c>
      <c r="AK330" s="10" t="str">
        <f t="shared" si="220"/>
        <v>Revenue</v>
      </c>
      <c r="AL330" s="10" t="str">
        <f>""</f>
        <v/>
      </c>
      <c r="AM330" s="10" t="str">
        <f>""</f>
        <v/>
      </c>
      <c r="AN330" s="10" t="str">
        <f>""</f>
        <v/>
      </c>
      <c r="AO330" s="10" t="str">
        <f>""</f>
        <v/>
      </c>
    </row>
    <row r="331" spans="1:41" s="10" customFormat="1" ht="409.6">
      <c r="A331" s="9"/>
      <c r="B331" s="9"/>
      <c r="C331" s="9"/>
      <c r="D331" s="10" t="str">
        <f>"34575"</f>
        <v>34575</v>
      </c>
      <c r="E331" s="11" t="str">
        <f>""</f>
        <v/>
      </c>
      <c r="F331" s="11" t="str">
        <f t="shared" si="190"/>
        <v>372418</v>
      </c>
      <c r="G331" s="11" t="str">
        <f t="shared" si="191"/>
        <v>2017toJAN</v>
      </c>
      <c r="H331" s="11" t="str">
        <f t="shared" si="192"/>
        <v>CRSP06B</v>
      </c>
      <c r="I331" s="11" t="str">
        <f t="shared" si="193"/>
        <v>34</v>
      </c>
      <c r="J331" s="11" t="str">
        <f t="shared" si="194"/>
        <v>Creditor</v>
      </c>
      <c r="K331" s="11" t="str">
        <f t="shared" si="210"/>
        <v>CS000551</v>
      </c>
      <c r="L331" s="10" t="str">
        <f t="shared" si="211"/>
        <v>Lyreco UK Ltd</v>
      </c>
      <c r="M331" s="12" t="str">
        <f t="shared" si="212"/>
        <v>25/01/2017 00:00:00</v>
      </c>
      <c r="N331" s="12">
        <v>42760</v>
      </c>
      <c r="O331" s="10" t="str">
        <f t="shared" si="213"/>
        <v>C008069</v>
      </c>
      <c r="P331" s="13">
        <v>4.9000000000000004</v>
      </c>
      <c r="Q331" s="11" t="str">
        <f>"4.9000"</f>
        <v>4.9000</v>
      </c>
      <c r="R331" s="10" t="str">
        <f t="shared" si="214"/>
        <v>C0004552</v>
      </c>
      <c r="S331" s="14" t="str">
        <f t="shared" si="215"/>
        <v>2129.8300</v>
      </c>
      <c r="T331" s="10">
        <v>28650</v>
      </c>
      <c r="U331" s="10">
        <v>1444</v>
      </c>
      <c r="V331" s="10" t="str">
        <f t="shared" si="216"/>
        <v>Printing Stationery &amp; Off Supp</v>
      </c>
      <c r="W331" s="10" t="str">
        <f t="shared" si="217"/>
        <v>Supplies and Services</v>
      </c>
      <c r="X331" s="10" t="str">
        <f>VLOOKUP(U331,'[1]Account code lookup'!A:B,2,0)</f>
        <v>Stationery</v>
      </c>
      <c r="Z331" s="10" t="str">
        <f t="shared" si="221"/>
        <v>Regeneration and Housing</v>
      </c>
      <c r="AA331" s="10" t="str">
        <f t="shared" si="222"/>
        <v>Commercial Development</v>
      </c>
      <c r="AB331" s="10" t="str">
        <f t="shared" si="223"/>
        <v>2cdb</v>
      </c>
      <c r="AD331" s="10" t="str">
        <f t="shared" si="224"/>
        <v>cdb02</v>
      </c>
      <c r="AE331" s="10" t="str">
        <f t="shared" si="218"/>
        <v>Environmental Services / Environmental Services Admin</v>
      </c>
      <c r="AG331" s="10" t="str">
        <f t="shared" si="225"/>
        <v>28650/1444</v>
      </c>
      <c r="AI331" s="10" t="str">
        <f t="shared" si="219"/>
        <v>14suse</v>
      </c>
      <c r="AJ331" s="15" t="str">
        <f>"LYRECO DESK/WALL CALENDAR 260 X 210MM - YEAR TO VIEW"</f>
        <v>LYRECO DESK/WALL CALENDAR 260 X 210MM - YEAR TO VIEW</v>
      </c>
      <c r="AK331" s="10" t="str">
        <f t="shared" si="220"/>
        <v>Revenue</v>
      </c>
      <c r="AL331" s="10" t="str">
        <f>""</f>
        <v/>
      </c>
      <c r="AM331" s="10" t="str">
        <f>""</f>
        <v/>
      </c>
      <c r="AN331" s="10" t="str">
        <f>""</f>
        <v/>
      </c>
      <c r="AO331" s="10" t="str">
        <f>""</f>
        <v/>
      </c>
    </row>
    <row r="332" spans="1:41" s="10" customFormat="1" ht="409.6">
      <c r="A332" s="9"/>
      <c r="B332" s="9"/>
      <c r="C332" s="9"/>
      <c r="D332" s="10" t="str">
        <f>"34877"</f>
        <v>34877</v>
      </c>
      <c r="E332" s="11" t="str">
        <f>""</f>
        <v/>
      </c>
      <c r="F332" s="11" t="str">
        <f t="shared" si="190"/>
        <v>372418</v>
      </c>
      <c r="G332" s="11" t="str">
        <f t="shared" si="191"/>
        <v>2017toJAN</v>
      </c>
      <c r="H332" s="11" t="str">
        <f t="shared" si="192"/>
        <v>CRSP06B</v>
      </c>
      <c r="I332" s="11" t="str">
        <f t="shared" si="193"/>
        <v>34</v>
      </c>
      <c r="J332" s="11" t="str">
        <f t="shared" si="194"/>
        <v>Creditor</v>
      </c>
      <c r="K332" s="11" t="str">
        <f t="shared" si="210"/>
        <v>CS000551</v>
      </c>
      <c r="L332" s="10" t="str">
        <f t="shared" si="211"/>
        <v>Lyreco UK Ltd</v>
      </c>
      <c r="M332" s="12" t="str">
        <f t="shared" si="212"/>
        <v>25/01/2017 00:00:00</v>
      </c>
      <c r="N332" s="12">
        <v>42760</v>
      </c>
      <c r="O332" s="10" t="str">
        <f t="shared" si="213"/>
        <v>C008069</v>
      </c>
      <c r="P332" s="13">
        <v>0.72</v>
      </c>
      <c r="Q332" s="11" t="str">
        <f>"0.7200"</f>
        <v>0.7200</v>
      </c>
      <c r="R332" s="10" t="str">
        <f t="shared" si="214"/>
        <v>C0004552</v>
      </c>
      <c r="S332" s="14" t="str">
        <f t="shared" si="215"/>
        <v>2129.8300</v>
      </c>
      <c r="T332" s="10">
        <v>28650</v>
      </c>
      <c r="U332" s="10">
        <v>1444</v>
      </c>
      <c r="V332" s="10" t="str">
        <f t="shared" si="216"/>
        <v>Printing Stationery &amp; Off Supp</v>
      </c>
      <c r="W332" s="10" t="str">
        <f t="shared" si="217"/>
        <v>Supplies and Services</v>
      </c>
      <c r="X332" s="10" t="str">
        <f>VLOOKUP(U332,'[1]Account code lookup'!A:B,2,0)</f>
        <v>Stationery</v>
      </c>
      <c r="Z332" s="10" t="str">
        <f t="shared" si="221"/>
        <v>Regeneration and Housing</v>
      </c>
      <c r="AA332" s="10" t="str">
        <f t="shared" si="222"/>
        <v>Commercial Development</v>
      </c>
      <c r="AB332" s="10" t="str">
        <f t="shared" si="223"/>
        <v>2cdb</v>
      </c>
      <c r="AD332" s="10" t="str">
        <f t="shared" si="224"/>
        <v>cdb02</v>
      </c>
      <c r="AE332" s="10" t="str">
        <f t="shared" si="218"/>
        <v>Environmental Services / Environmental Services Admin</v>
      </c>
      <c r="AG332" s="10" t="str">
        <f t="shared" si="225"/>
        <v>28650/1444</v>
      </c>
      <c r="AI332" s="10" t="str">
        <f t="shared" si="219"/>
        <v>14suse</v>
      </c>
      <c r="AJ332" s="15" t="str">
        <f>"LYRECO PLAIN YELLOW STICKY NOTES 125 X 75MM - PACK OF 12 PADS"</f>
        <v>LYRECO PLAIN YELLOW STICKY NOTES 125 X 75MM - PACK OF 12 PADS</v>
      </c>
      <c r="AK332" s="10" t="str">
        <f t="shared" si="220"/>
        <v>Revenue</v>
      </c>
      <c r="AL332" s="10" t="str">
        <f>""</f>
        <v/>
      </c>
      <c r="AM332" s="10" t="str">
        <f>""</f>
        <v/>
      </c>
      <c r="AN332" s="10" t="str">
        <f>""</f>
        <v/>
      </c>
      <c r="AO332" s="10" t="str">
        <f>""</f>
        <v/>
      </c>
    </row>
    <row r="333" spans="1:41" s="10" customFormat="1" ht="409.6">
      <c r="A333" s="9"/>
      <c r="B333" s="9"/>
      <c r="C333" s="9"/>
      <c r="D333" s="10" t="str">
        <f>"34878"</f>
        <v>34878</v>
      </c>
      <c r="E333" s="11" t="str">
        <f>""</f>
        <v/>
      </c>
      <c r="F333" s="11" t="str">
        <f t="shared" si="190"/>
        <v>372418</v>
      </c>
      <c r="G333" s="11" t="str">
        <f t="shared" si="191"/>
        <v>2017toJAN</v>
      </c>
      <c r="H333" s="11" t="str">
        <f t="shared" si="192"/>
        <v>CRSP06B</v>
      </c>
      <c r="I333" s="11" t="str">
        <f t="shared" si="193"/>
        <v>34</v>
      </c>
      <c r="J333" s="11" t="str">
        <f t="shared" si="194"/>
        <v>Creditor</v>
      </c>
      <c r="K333" s="11" t="str">
        <f t="shared" si="210"/>
        <v>CS000551</v>
      </c>
      <c r="L333" s="10" t="str">
        <f t="shared" si="211"/>
        <v>Lyreco UK Ltd</v>
      </c>
      <c r="M333" s="12" t="str">
        <f t="shared" si="212"/>
        <v>25/01/2017 00:00:00</v>
      </c>
      <c r="N333" s="12">
        <v>42760</v>
      </c>
      <c r="O333" s="10" t="str">
        <f t="shared" si="213"/>
        <v>C008069</v>
      </c>
      <c r="P333" s="13">
        <v>0.36</v>
      </c>
      <c r="Q333" s="11" t="str">
        <f>"0.3600"</f>
        <v>0.3600</v>
      </c>
      <c r="R333" s="10" t="str">
        <f t="shared" si="214"/>
        <v>C0004552</v>
      </c>
      <c r="S333" s="14" t="str">
        <f t="shared" si="215"/>
        <v>2129.8300</v>
      </c>
      <c r="T333" s="10">
        <v>28650</v>
      </c>
      <c r="U333" s="10">
        <v>1444</v>
      </c>
      <c r="V333" s="10" t="str">
        <f t="shared" si="216"/>
        <v>Printing Stationery &amp; Off Supp</v>
      </c>
      <c r="W333" s="10" t="str">
        <f t="shared" si="217"/>
        <v>Supplies and Services</v>
      </c>
      <c r="X333" s="10" t="str">
        <f>VLOOKUP(U333,'[1]Account code lookup'!A:B,2,0)</f>
        <v>Stationery</v>
      </c>
      <c r="Z333" s="10" t="str">
        <f t="shared" si="221"/>
        <v>Regeneration and Housing</v>
      </c>
      <c r="AA333" s="10" t="str">
        <f t="shared" si="222"/>
        <v>Commercial Development</v>
      </c>
      <c r="AB333" s="10" t="str">
        <f t="shared" si="223"/>
        <v>2cdb</v>
      </c>
      <c r="AD333" s="10" t="str">
        <f t="shared" si="224"/>
        <v>cdb02</v>
      </c>
      <c r="AE333" s="10" t="str">
        <f t="shared" si="218"/>
        <v>Environmental Services / Environmental Services Admin</v>
      </c>
      <c r="AG333" s="10" t="str">
        <f t="shared" si="225"/>
        <v>28650/1444</v>
      </c>
      <c r="AI333" s="10" t="str">
        <f t="shared" si="219"/>
        <v>14suse</v>
      </c>
      <c r="AJ333" s="15" t="str">
        <f>"LYRECO PLAIN YELLOW STICKY NOTES 76 X 76MM - PACK OF 12 PADS"</f>
        <v>LYRECO PLAIN YELLOW STICKY NOTES 76 X 76MM - PACK OF 12 PADS</v>
      </c>
      <c r="AK333" s="10" t="str">
        <f t="shared" si="220"/>
        <v>Revenue</v>
      </c>
      <c r="AL333" s="10" t="str">
        <f>""</f>
        <v/>
      </c>
      <c r="AM333" s="10" t="str">
        <f>""</f>
        <v/>
      </c>
      <c r="AN333" s="10" t="str">
        <f>""</f>
        <v/>
      </c>
      <c r="AO333" s="10" t="str">
        <f>""</f>
        <v/>
      </c>
    </row>
    <row r="334" spans="1:41" s="10" customFormat="1" ht="409.6">
      <c r="A334" s="9"/>
      <c r="B334" s="9"/>
      <c r="C334" s="9"/>
      <c r="D334" s="10" t="str">
        <f>"35121"</f>
        <v>35121</v>
      </c>
      <c r="E334" s="11" t="str">
        <f>""</f>
        <v/>
      </c>
      <c r="F334" s="11" t="str">
        <f t="shared" si="190"/>
        <v>372418</v>
      </c>
      <c r="G334" s="11" t="str">
        <f t="shared" si="191"/>
        <v>2017toJAN</v>
      </c>
      <c r="H334" s="11" t="str">
        <f t="shared" si="192"/>
        <v>CRSP06B</v>
      </c>
      <c r="I334" s="11" t="str">
        <f t="shared" si="193"/>
        <v>34</v>
      </c>
      <c r="J334" s="11" t="str">
        <f t="shared" si="194"/>
        <v>Creditor</v>
      </c>
      <c r="K334" s="11" t="str">
        <f t="shared" si="210"/>
        <v>CS000551</v>
      </c>
      <c r="L334" s="10" t="str">
        <f t="shared" si="211"/>
        <v>Lyreco UK Ltd</v>
      </c>
      <c r="M334" s="12" t="str">
        <f t="shared" si="212"/>
        <v>25/01/2017 00:00:00</v>
      </c>
      <c r="N334" s="12">
        <v>42760</v>
      </c>
      <c r="O334" s="10" t="str">
        <f t="shared" si="213"/>
        <v>C008069</v>
      </c>
      <c r="P334" s="13">
        <v>2.2799999999999998</v>
      </c>
      <c r="Q334" s="11" t="str">
        <f>"2.2800"</f>
        <v>2.2800</v>
      </c>
      <c r="R334" s="10" t="str">
        <f t="shared" si="214"/>
        <v>C0004552</v>
      </c>
      <c r="S334" s="14" t="str">
        <f t="shared" si="215"/>
        <v>2129.8300</v>
      </c>
      <c r="T334" s="10">
        <v>28650</v>
      </c>
      <c r="U334" s="10">
        <v>1444</v>
      </c>
      <c r="V334" s="10" t="str">
        <f t="shared" si="216"/>
        <v>Printing Stationery &amp; Off Supp</v>
      </c>
      <c r="W334" s="10" t="str">
        <f t="shared" si="217"/>
        <v>Supplies and Services</v>
      </c>
      <c r="X334" s="10" t="str">
        <f>VLOOKUP(U334,'[1]Account code lookup'!A:B,2,0)</f>
        <v>Stationery</v>
      </c>
      <c r="Z334" s="10" t="str">
        <f t="shared" si="221"/>
        <v>Regeneration and Housing</v>
      </c>
      <c r="AA334" s="10" t="str">
        <f t="shared" si="222"/>
        <v>Commercial Development</v>
      </c>
      <c r="AB334" s="10" t="str">
        <f t="shared" si="223"/>
        <v>2cdb</v>
      </c>
      <c r="AD334" s="10" t="str">
        <f t="shared" si="224"/>
        <v>cdb02</v>
      </c>
      <c r="AE334" s="10" t="str">
        <f t="shared" si="218"/>
        <v>Environmental Services / Environmental Services Admin</v>
      </c>
      <c r="AG334" s="10" t="str">
        <f t="shared" si="225"/>
        <v>28650/1444</v>
      </c>
      <c r="AI334" s="10" t="str">
        <f t="shared" si="219"/>
        <v>14suse</v>
      </c>
      <c r="AJ334" s="15" t="str">
        <f>"LYRECO PREMIUM A4 EXTRA WIDE PUNCHED POCKETS 120 MICRON - PACK OF 25"</f>
        <v>LYRECO PREMIUM A4 EXTRA WIDE PUNCHED POCKETS 120 MICRON - PACK OF 25</v>
      </c>
      <c r="AK334" s="10" t="str">
        <f t="shared" si="220"/>
        <v>Revenue</v>
      </c>
      <c r="AL334" s="10" t="str">
        <f>""</f>
        <v/>
      </c>
      <c r="AM334" s="10" t="str">
        <f>""</f>
        <v/>
      </c>
      <c r="AN334" s="10" t="str">
        <f>""</f>
        <v/>
      </c>
      <c r="AO334" s="10" t="str">
        <f>""</f>
        <v/>
      </c>
    </row>
    <row r="335" spans="1:41" s="10" customFormat="1" ht="409.6">
      <c r="A335" s="9"/>
      <c r="B335" s="9"/>
      <c r="C335" s="9"/>
      <c r="D335" s="10" t="str">
        <f>"27639"</f>
        <v>27639</v>
      </c>
      <c r="E335" s="11" t="str">
        <f>""</f>
        <v/>
      </c>
      <c r="F335" s="11" t="str">
        <f t="shared" si="190"/>
        <v>372418</v>
      </c>
      <c r="G335" s="11" t="str">
        <f t="shared" si="191"/>
        <v>2017toJAN</v>
      </c>
      <c r="H335" s="11" t="str">
        <f t="shared" si="192"/>
        <v>CRSP06B</v>
      </c>
      <c r="I335" s="11" t="str">
        <f t="shared" si="193"/>
        <v>34</v>
      </c>
      <c r="J335" s="11" t="str">
        <f t="shared" si="194"/>
        <v>Creditor</v>
      </c>
      <c r="K335" s="11" t="str">
        <f t="shared" si="210"/>
        <v>CS000551</v>
      </c>
      <c r="L335" s="10" t="str">
        <f t="shared" si="211"/>
        <v>Lyreco UK Ltd</v>
      </c>
      <c r="M335" s="12" t="str">
        <f t="shared" si="212"/>
        <v>25/01/2017 00:00:00</v>
      </c>
      <c r="N335" s="12">
        <v>42760</v>
      </c>
      <c r="O335" s="10" t="str">
        <f t="shared" si="213"/>
        <v>C008069</v>
      </c>
      <c r="P335" s="13">
        <v>2.88</v>
      </c>
      <c r="Q335" s="11" t="str">
        <f>"2.8800"</f>
        <v>2.8800</v>
      </c>
      <c r="R335" s="10" t="str">
        <f t="shared" si="214"/>
        <v>C0004552</v>
      </c>
      <c r="S335" s="14" t="str">
        <f t="shared" si="215"/>
        <v>2129.8300</v>
      </c>
      <c r="T335" s="10">
        <v>28650</v>
      </c>
      <c r="U335" s="10">
        <v>1444</v>
      </c>
      <c r="V335" s="10" t="str">
        <f t="shared" si="216"/>
        <v>Printing Stationery &amp; Off Supp</v>
      </c>
      <c r="W335" s="10" t="str">
        <f t="shared" si="217"/>
        <v>Supplies and Services</v>
      </c>
      <c r="X335" s="10" t="str">
        <f>VLOOKUP(U335,'[1]Account code lookup'!A:B,2,0)</f>
        <v>Stationery</v>
      </c>
      <c r="Z335" s="10" t="str">
        <f t="shared" si="221"/>
        <v>Regeneration and Housing</v>
      </c>
      <c r="AA335" s="10" t="str">
        <f t="shared" si="222"/>
        <v>Commercial Development</v>
      </c>
      <c r="AB335" s="10" t="str">
        <f t="shared" si="223"/>
        <v>2cdb</v>
      </c>
      <c r="AD335" s="10" t="str">
        <f t="shared" si="224"/>
        <v>cdb02</v>
      </c>
      <c r="AE335" s="10" t="str">
        <f t="shared" si="218"/>
        <v>Environmental Services / Environmental Services Admin</v>
      </c>
      <c r="AG335" s="10" t="str">
        <f t="shared" si="225"/>
        <v>28650/1444</v>
      </c>
      <c r="AI335" s="10" t="str">
        <f t="shared" si="219"/>
        <v>14suse</v>
      </c>
      <c r="AJ335" s="15" t="str">
        <f>"LYRECO RETRACTABLE GEL INK BLACK PENS 0.5MM LINE WIDTH - BOX OF 12"</f>
        <v>LYRECO RETRACTABLE GEL INK BLACK PENS 0.5MM LINE WIDTH - BOX OF 12</v>
      </c>
      <c r="AK335" s="10" t="str">
        <f t="shared" si="220"/>
        <v>Revenue</v>
      </c>
      <c r="AL335" s="10" t="str">
        <f>""</f>
        <v/>
      </c>
      <c r="AM335" s="10" t="str">
        <f>""</f>
        <v/>
      </c>
      <c r="AN335" s="10" t="str">
        <f>""</f>
        <v/>
      </c>
      <c r="AO335" s="10" t="str">
        <f>""</f>
        <v/>
      </c>
    </row>
    <row r="336" spans="1:41" s="10" customFormat="1" ht="409.6">
      <c r="A336" s="9"/>
      <c r="B336" s="9"/>
      <c r="C336" s="9"/>
      <c r="D336" s="10" t="str">
        <f>"27782"</f>
        <v>27782</v>
      </c>
      <c r="E336" s="11" t="str">
        <f>""</f>
        <v/>
      </c>
      <c r="F336" s="11" t="str">
        <f t="shared" si="190"/>
        <v>372418</v>
      </c>
      <c r="G336" s="11" t="str">
        <f t="shared" si="191"/>
        <v>2017toJAN</v>
      </c>
      <c r="H336" s="11" t="str">
        <f t="shared" si="192"/>
        <v>CRSP06B</v>
      </c>
      <c r="I336" s="11" t="str">
        <f t="shared" si="193"/>
        <v>34</v>
      </c>
      <c r="J336" s="11" t="str">
        <f t="shared" si="194"/>
        <v>Creditor</v>
      </c>
      <c r="K336" s="11" t="str">
        <f t="shared" si="210"/>
        <v>CS000551</v>
      </c>
      <c r="L336" s="10" t="str">
        <f t="shared" si="211"/>
        <v>Lyreco UK Ltd</v>
      </c>
      <c r="M336" s="12" t="str">
        <f t="shared" si="212"/>
        <v>25/01/2017 00:00:00</v>
      </c>
      <c r="N336" s="12">
        <v>42760</v>
      </c>
      <c r="O336" s="10" t="str">
        <f t="shared" si="213"/>
        <v>C008069</v>
      </c>
      <c r="P336" s="13">
        <v>1.44</v>
      </c>
      <c r="Q336" s="11" t="str">
        <f>"1.4400"</f>
        <v>1.4400</v>
      </c>
      <c r="R336" s="10" t="str">
        <f t="shared" si="214"/>
        <v>C0004552</v>
      </c>
      <c r="S336" s="14" t="str">
        <f t="shared" si="215"/>
        <v>2129.8300</v>
      </c>
      <c r="T336" s="10">
        <v>28650</v>
      </c>
      <c r="U336" s="10">
        <v>1444</v>
      </c>
      <c r="V336" s="10" t="str">
        <f t="shared" si="216"/>
        <v>Printing Stationery &amp; Off Supp</v>
      </c>
      <c r="W336" s="10" t="str">
        <f t="shared" si="217"/>
        <v>Supplies and Services</v>
      </c>
      <c r="X336" s="10" t="str">
        <f>VLOOKUP(U336,'[1]Account code lookup'!A:B,2,0)</f>
        <v>Stationery</v>
      </c>
      <c r="Z336" s="10" t="str">
        <f t="shared" si="221"/>
        <v>Regeneration and Housing</v>
      </c>
      <c r="AA336" s="10" t="str">
        <f t="shared" si="222"/>
        <v>Commercial Development</v>
      </c>
      <c r="AB336" s="10" t="str">
        <f t="shared" si="223"/>
        <v>2cdb</v>
      </c>
      <c r="AD336" s="10" t="str">
        <f t="shared" si="224"/>
        <v>cdb02</v>
      </c>
      <c r="AE336" s="10" t="str">
        <f t="shared" si="218"/>
        <v>Environmental Services / Environmental Services Admin</v>
      </c>
      <c r="AG336" s="10" t="str">
        <f t="shared" si="225"/>
        <v>28650/1444</v>
      </c>
      <c r="AI336" s="10" t="str">
        <f t="shared" si="219"/>
        <v>14suse</v>
      </c>
      <c r="AJ336" s="15" t="str">
        <f>"LYRECO RETRACTABLE GEL INK BLUE PENS 0.5MM LINE WIDTH - BOX OF 12"</f>
        <v>LYRECO RETRACTABLE GEL INK BLUE PENS 0.5MM LINE WIDTH - BOX OF 12</v>
      </c>
      <c r="AK336" s="10" t="str">
        <f t="shared" si="220"/>
        <v>Revenue</v>
      </c>
      <c r="AL336" s="10" t="str">
        <f>""</f>
        <v/>
      </c>
      <c r="AM336" s="10" t="str">
        <f>""</f>
        <v/>
      </c>
      <c r="AN336" s="10" t="str">
        <f>""</f>
        <v/>
      </c>
      <c r="AO336" s="10" t="str">
        <f>""</f>
        <v/>
      </c>
    </row>
    <row r="337" spans="1:41" s="10" customFormat="1" ht="409.6">
      <c r="A337" s="9"/>
      <c r="B337" s="9"/>
      <c r="C337" s="9"/>
      <c r="D337" s="10" t="str">
        <f>"27791"</f>
        <v>27791</v>
      </c>
      <c r="E337" s="11" t="str">
        <f>""</f>
        <v/>
      </c>
      <c r="F337" s="11" t="str">
        <f t="shared" si="190"/>
        <v>372418</v>
      </c>
      <c r="G337" s="11" t="str">
        <f t="shared" si="191"/>
        <v>2017toJAN</v>
      </c>
      <c r="H337" s="11" t="str">
        <f t="shared" si="192"/>
        <v>CRSP06B</v>
      </c>
      <c r="I337" s="11" t="str">
        <f t="shared" si="193"/>
        <v>34</v>
      </c>
      <c r="J337" s="11" t="str">
        <f t="shared" si="194"/>
        <v>Creditor</v>
      </c>
      <c r="K337" s="11" t="str">
        <f t="shared" si="210"/>
        <v>CS000551</v>
      </c>
      <c r="L337" s="10" t="str">
        <f t="shared" si="211"/>
        <v>Lyreco UK Ltd</v>
      </c>
      <c r="M337" s="12" t="str">
        <f t="shared" si="212"/>
        <v>25/01/2017 00:00:00</v>
      </c>
      <c r="N337" s="12">
        <v>42760</v>
      </c>
      <c r="O337" s="10" t="str">
        <f t="shared" si="213"/>
        <v>C008069</v>
      </c>
      <c r="P337" s="13">
        <v>6.24</v>
      </c>
      <c r="Q337" s="11" t="str">
        <f>"6.2400"</f>
        <v>6.2400</v>
      </c>
      <c r="R337" s="10" t="str">
        <f t="shared" si="214"/>
        <v>C0004552</v>
      </c>
      <c r="S337" s="14" t="str">
        <f t="shared" si="215"/>
        <v>2129.8300</v>
      </c>
      <c r="T337" s="10">
        <v>28650</v>
      </c>
      <c r="U337" s="10">
        <v>1444</v>
      </c>
      <c r="V337" s="10" t="str">
        <f t="shared" si="216"/>
        <v>Printing Stationery &amp; Off Supp</v>
      </c>
      <c r="W337" s="10" t="str">
        <f t="shared" si="217"/>
        <v>Supplies and Services</v>
      </c>
      <c r="X337" s="10" t="str">
        <f>VLOOKUP(U337,'[1]Account code lookup'!A:B,2,0)</f>
        <v>Stationery</v>
      </c>
      <c r="Z337" s="10" t="str">
        <f t="shared" si="221"/>
        <v>Regeneration and Housing</v>
      </c>
      <c r="AA337" s="10" t="str">
        <f t="shared" si="222"/>
        <v>Commercial Development</v>
      </c>
      <c r="AB337" s="10" t="str">
        <f t="shared" si="223"/>
        <v>2cdb</v>
      </c>
      <c r="AD337" s="10" t="str">
        <f t="shared" si="224"/>
        <v>cdb02</v>
      </c>
      <c r="AE337" s="10" t="str">
        <f t="shared" si="218"/>
        <v>Environmental Services / Environmental Services Admin</v>
      </c>
      <c r="AG337" s="10" t="str">
        <f t="shared" si="225"/>
        <v>28650/1444</v>
      </c>
      <c r="AI337" s="10" t="str">
        <f t="shared" si="219"/>
        <v>14suse</v>
      </c>
      <c r="AJ337" s="15" t="str">
        <f>"LYRECO SOFT RETRACTABLE BALL POINT RED PENS 0.5MM LINE WIDTH - BOX OF 12"</f>
        <v>LYRECO SOFT RETRACTABLE BALL POINT RED PENS 0.5MM LINE WIDTH - BOX OF 12</v>
      </c>
      <c r="AK337" s="10" t="str">
        <f t="shared" si="220"/>
        <v>Revenue</v>
      </c>
      <c r="AL337" s="10" t="str">
        <f>""</f>
        <v/>
      </c>
      <c r="AM337" s="10" t="str">
        <f>""</f>
        <v/>
      </c>
      <c r="AN337" s="10" t="str">
        <f>""</f>
        <v/>
      </c>
      <c r="AO337" s="10" t="str">
        <f>""</f>
        <v/>
      </c>
    </row>
    <row r="338" spans="1:41" s="10" customFormat="1" ht="409.6">
      <c r="A338" s="9"/>
      <c r="B338" s="9"/>
      <c r="C338" s="9"/>
      <c r="D338" s="10" t="str">
        <f>"27968"</f>
        <v>27968</v>
      </c>
      <c r="E338" s="11" t="str">
        <f>""</f>
        <v/>
      </c>
      <c r="F338" s="11" t="str">
        <f t="shared" si="190"/>
        <v>372418</v>
      </c>
      <c r="G338" s="11" t="str">
        <f t="shared" si="191"/>
        <v>2017toJAN</v>
      </c>
      <c r="H338" s="11" t="str">
        <f t="shared" si="192"/>
        <v>CRSP06B</v>
      </c>
      <c r="I338" s="11" t="str">
        <f t="shared" si="193"/>
        <v>34</v>
      </c>
      <c r="J338" s="11" t="str">
        <f t="shared" si="194"/>
        <v>Creditor</v>
      </c>
      <c r="K338" s="11" t="str">
        <f t="shared" si="210"/>
        <v>CS000551</v>
      </c>
      <c r="L338" s="10" t="str">
        <f t="shared" si="211"/>
        <v>Lyreco UK Ltd</v>
      </c>
      <c r="M338" s="12" t="str">
        <f t="shared" si="212"/>
        <v>25/01/2017 00:00:00</v>
      </c>
      <c r="N338" s="12">
        <v>42760</v>
      </c>
      <c r="O338" s="10" t="str">
        <f t="shared" si="213"/>
        <v>C008069</v>
      </c>
      <c r="P338" s="13">
        <v>1.32</v>
      </c>
      <c r="Q338" s="11" t="str">
        <f>"1.3200"</f>
        <v>1.3200</v>
      </c>
      <c r="R338" s="10" t="str">
        <f t="shared" si="214"/>
        <v>C0004552</v>
      </c>
      <c r="S338" s="14" t="str">
        <f t="shared" si="215"/>
        <v>2129.8300</v>
      </c>
      <c r="T338" s="10">
        <v>28650</v>
      </c>
      <c r="U338" s="10">
        <v>1444</v>
      </c>
      <c r="V338" s="10" t="str">
        <f t="shared" si="216"/>
        <v>Printing Stationery &amp; Off Supp</v>
      </c>
      <c r="W338" s="10" t="str">
        <f t="shared" si="217"/>
        <v>Supplies and Services</v>
      </c>
      <c r="X338" s="10" t="str">
        <f>VLOOKUP(U338,'[1]Account code lookup'!A:B,2,0)</f>
        <v>Stationery</v>
      </c>
      <c r="Z338" s="10" t="str">
        <f t="shared" si="221"/>
        <v>Regeneration and Housing</v>
      </c>
      <c r="AA338" s="10" t="str">
        <f t="shared" si="222"/>
        <v>Commercial Development</v>
      </c>
      <c r="AB338" s="10" t="str">
        <f t="shared" si="223"/>
        <v>2cdb</v>
      </c>
      <c r="AD338" s="10" t="str">
        <f t="shared" si="224"/>
        <v>cdb02</v>
      </c>
      <c r="AE338" s="10" t="str">
        <f t="shared" si="218"/>
        <v>Environmental Services / Environmental Services Admin</v>
      </c>
      <c r="AG338" s="10" t="str">
        <f t="shared" si="225"/>
        <v>28650/1444</v>
      </c>
      <c r="AI338" s="10" t="str">
        <f t="shared" si="219"/>
        <v>14suse</v>
      </c>
      <c r="AJ338" s="15" t="str">
        <f>"LYRECO UNMOUNTED LANDSCAPE YEAR PLANNER - 915 X 610MM"</f>
        <v>LYRECO UNMOUNTED LANDSCAPE YEAR PLANNER - 915 X 610MM</v>
      </c>
      <c r="AK338" s="10" t="str">
        <f t="shared" si="220"/>
        <v>Revenue</v>
      </c>
      <c r="AL338" s="10" t="str">
        <f>""</f>
        <v/>
      </c>
      <c r="AM338" s="10" t="str">
        <f>""</f>
        <v/>
      </c>
      <c r="AN338" s="10" t="str">
        <f>""</f>
        <v/>
      </c>
      <c r="AO338" s="10" t="str">
        <f>""</f>
        <v/>
      </c>
    </row>
    <row r="339" spans="1:41" s="10" customFormat="1" ht="409.6">
      <c r="A339" s="9"/>
      <c r="B339" s="9"/>
      <c r="C339" s="9"/>
      <c r="D339" s="10" t="str">
        <f>"28251"</f>
        <v>28251</v>
      </c>
      <c r="E339" s="11" t="str">
        <f>""</f>
        <v/>
      </c>
      <c r="F339" s="11" t="str">
        <f t="shared" si="190"/>
        <v>372418</v>
      </c>
      <c r="G339" s="11" t="str">
        <f t="shared" si="191"/>
        <v>2017toJAN</v>
      </c>
      <c r="H339" s="11" t="str">
        <f t="shared" si="192"/>
        <v>CRSP06B</v>
      </c>
      <c r="I339" s="11" t="str">
        <f t="shared" si="193"/>
        <v>34</v>
      </c>
      <c r="J339" s="11" t="str">
        <f t="shared" si="194"/>
        <v>Creditor</v>
      </c>
      <c r="K339" s="11" t="str">
        <f t="shared" si="210"/>
        <v>CS000551</v>
      </c>
      <c r="L339" s="10" t="str">
        <f t="shared" si="211"/>
        <v>Lyreco UK Ltd</v>
      </c>
      <c r="M339" s="12" t="str">
        <f t="shared" si="212"/>
        <v>25/01/2017 00:00:00</v>
      </c>
      <c r="N339" s="12">
        <v>42760</v>
      </c>
      <c r="O339" s="10" t="str">
        <f t="shared" si="213"/>
        <v>C008069</v>
      </c>
      <c r="P339" s="13">
        <v>7.98</v>
      </c>
      <c r="Q339" s="11" t="str">
        <f>"7.9800"</f>
        <v>7.9800</v>
      </c>
      <c r="R339" s="10" t="str">
        <f t="shared" si="214"/>
        <v>C0004552</v>
      </c>
      <c r="S339" s="14" t="str">
        <f t="shared" si="215"/>
        <v>2129.8300</v>
      </c>
      <c r="T339" s="10">
        <v>28650</v>
      </c>
      <c r="U339" s="10">
        <v>1444</v>
      </c>
      <c r="V339" s="10" t="str">
        <f t="shared" si="216"/>
        <v>Printing Stationery &amp; Off Supp</v>
      </c>
      <c r="W339" s="10" t="str">
        <f t="shared" si="217"/>
        <v>Supplies and Services</v>
      </c>
      <c r="X339" s="10" t="str">
        <f>VLOOKUP(U339,'[1]Account code lookup'!A:B,2,0)</f>
        <v>Stationery</v>
      </c>
      <c r="Z339" s="10" t="str">
        <f t="shared" si="221"/>
        <v>Regeneration and Housing</v>
      </c>
      <c r="AA339" s="10" t="str">
        <f t="shared" si="222"/>
        <v>Commercial Development</v>
      </c>
      <c r="AB339" s="10" t="str">
        <f t="shared" si="223"/>
        <v>2cdb</v>
      </c>
      <c r="AD339" s="10" t="str">
        <f t="shared" si="224"/>
        <v>cdb02</v>
      </c>
      <c r="AE339" s="10" t="str">
        <f t="shared" si="218"/>
        <v>Environmental Services / Environmental Services Admin</v>
      </c>
      <c r="AG339" s="10" t="str">
        <f t="shared" si="225"/>
        <v>28650/1444</v>
      </c>
      <c r="AI339" s="10" t="str">
        <f t="shared" si="219"/>
        <v>14suse</v>
      </c>
      <c r="AJ339" s="15" t="str">
        <f>"LYRECO WHITE C5 SELF SEAL WINDOW ENVELOPES 90GSM - BOX OF 500"</f>
        <v>LYRECO WHITE C5 SELF SEAL WINDOW ENVELOPES 90GSM - BOX OF 500</v>
      </c>
      <c r="AK339" s="10" t="str">
        <f t="shared" si="220"/>
        <v>Revenue</v>
      </c>
      <c r="AL339" s="10" t="str">
        <f>""</f>
        <v/>
      </c>
      <c r="AM339" s="10" t="str">
        <f>""</f>
        <v/>
      </c>
      <c r="AN339" s="10" t="str">
        <f>""</f>
        <v/>
      </c>
      <c r="AO339" s="10" t="str">
        <f>""</f>
        <v/>
      </c>
    </row>
    <row r="340" spans="1:41" s="10" customFormat="1" ht="409.6">
      <c r="A340" s="9"/>
      <c r="B340" s="9"/>
      <c r="C340" s="9"/>
      <c r="D340" s="10" t="str">
        <f>"28726"</f>
        <v>28726</v>
      </c>
      <c r="E340" s="11" t="str">
        <f>""</f>
        <v/>
      </c>
      <c r="F340" s="11" t="str">
        <f t="shared" si="190"/>
        <v>372418</v>
      </c>
      <c r="G340" s="11" t="str">
        <f t="shared" si="191"/>
        <v>2017toJAN</v>
      </c>
      <c r="H340" s="11" t="str">
        <f t="shared" si="192"/>
        <v>CRSP06B</v>
      </c>
      <c r="I340" s="11" t="str">
        <f t="shared" si="193"/>
        <v>34</v>
      </c>
      <c r="J340" s="11" t="str">
        <f t="shared" si="194"/>
        <v>Creditor</v>
      </c>
      <c r="K340" s="11" t="str">
        <f t="shared" si="210"/>
        <v>CS000551</v>
      </c>
      <c r="L340" s="10" t="str">
        <f t="shared" si="211"/>
        <v>Lyreco UK Ltd</v>
      </c>
      <c r="M340" s="12" t="str">
        <f t="shared" si="212"/>
        <v>25/01/2017 00:00:00</v>
      </c>
      <c r="N340" s="12">
        <v>42760</v>
      </c>
      <c r="O340" s="10" t="str">
        <f t="shared" si="213"/>
        <v>C008069</v>
      </c>
      <c r="P340" s="13">
        <v>3.6</v>
      </c>
      <c r="Q340" s="11" t="str">
        <f>"3.6000"</f>
        <v>3.6000</v>
      </c>
      <c r="R340" s="10" t="str">
        <f t="shared" si="214"/>
        <v>C0004552</v>
      </c>
      <c r="S340" s="14" t="str">
        <f t="shared" si="215"/>
        <v>2129.8300</v>
      </c>
      <c r="T340" s="10">
        <v>28650</v>
      </c>
      <c r="U340" s="10">
        <v>1444</v>
      </c>
      <c r="V340" s="10" t="str">
        <f t="shared" si="216"/>
        <v>Printing Stationery &amp; Off Supp</v>
      </c>
      <c r="W340" s="10" t="str">
        <f t="shared" si="217"/>
        <v>Supplies and Services</v>
      </c>
      <c r="X340" s="10" t="str">
        <f>VLOOKUP(U340,'[1]Account code lookup'!A:B,2,0)</f>
        <v>Stationery</v>
      </c>
      <c r="Z340" s="10" t="str">
        <f t="shared" si="221"/>
        <v>Regeneration and Housing</v>
      </c>
      <c r="AA340" s="10" t="str">
        <f t="shared" si="222"/>
        <v>Commercial Development</v>
      </c>
      <c r="AB340" s="10" t="str">
        <f t="shared" si="223"/>
        <v>2cdb</v>
      </c>
      <c r="AD340" s="10" t="str">
        <f t="shared" si="224"/>
        <v>cdb02</v>
      </c>
      <c r="AE340" s="10" t="str">
        <f t="shared" si="218"/>
        <v>Environmental Services / Environmental Services Admin</v>
      </c>
      <c r="AG340" s="10" t="str">
        <f t="shared" si="225"/>
        <v>28650/1444</v>
      </c>
      <c r="AI340" s="10" t="str">
        <f t="shared" si="219"/>
        <v>14suse</v>
      </c>
      <c r="AJ340" s="15" t="str">
        <f>"LYRECO WHITE DL PEEL &amp; SEAL WINDOW ENVELOPES 100GSM - BOX OF 500"</f>
        <v>LYRECO WHITE DL PEEL &amp; SEAL WINDOW ENVELOPES 100GSM - BOX OF 500</v>
      </c>
      <c r="AK340" s="10" t="str">
        <f t="shared" si="220"/>
        <v>Revenue</v>
      </c>
      <c r="AL340" s="10" t="str">
        <f>""</f>
        <v/>
      </c>
      <c r="AM340" s="10" t="str">
        <f>""</f>
        <v/>
      </c>
      <c r="AN340" s="10" t="str">
        <f>""</f>
        <v/>
      </c>
      <c r="AO340" s="10" t="str">
        <f>""</f>
        <v/>
      </c>
    </row>
    <row r="341" spans="1:41" s="10" customFormat="1" ht="409.6">
      <c r="A341" s="9"/>
      <c r="B341" s="9"/>
      <c r="C341" s="9"/>
      <c r="D341" s="10" t="str">
        <f>"29102"</f>
        <v>29102</v>
      </c>
      <c r="E341" s="11" t="str">
        <f>""</f>
        <v/>
      </c>
      <c r="F341" s="11" t="str">
        <f t="shared" si="190"/>
        <v>372418</v>
      </c>
      <c r="G341" s="11" t="str">
        <f t="shared" si="191"/>
        <v>2017toJAN</v>
      </c>
      <c r="H341" s="11" t="str">
        <f t="shared" si="192"/>
        <v>CRSP06B</v>
      </c>
      <c r="I341" s="11" t="str">
        <f t="shared" si="193"/>
        <v>34</v>
      </c>
      <c r="J341" s="11" t="str">
        <f t="shared" si="194"/>
        <v>Creditor</v>
      </c>
      <c r="K341" s="11" t="str">
        <f t="shared" si="210"/>
        <v>CS000551</v>
      </c>
      <c r="L341" s="10" t="str">
        <f t="shared" si="211"/>
        <v>Lyreco UK Ltd</v>
      </c>
      <c r="M341" s="12" t="str">
        <f t="shared" si="212"/>
        <v>25/01/2017 00:00:00</v>
      </c>
      <c r="N341" s="12">
        <v>42760</v>
      </c>
      <c r="O341" s="10" t="str">
        <f t="shared" si="213"/>
        <v>C008069</v>
      </c>
      <c r="P341" s="13">
        <v>3.17</v>
      </c>
      <c r="Q341" s="11" t="str">
        <f>"3.1700"</f>
        <v>3.1700</v>
      </c>
      <c r="R341" s="10" t="str">
        <f t="shared" si="214"/>
        <v>C0004552</v>
      </c>
      <c r="S341" s="14" t="str">
        <f t="shared" si="215"/>
        <v>2129.8300</v>
      </c>
      <c r="T341" s="10">
        <v>28650</v>
      </c>
      <c r="U341" s="10">
        <v>1444</v>
      </c>
      <c r="V341" s="10" t="str">
        <f t="shared" si="216"/>
        <v>Printing Stationery &amp; Off Supp</v>
      </c>
      <c r="W341" s="10" t="str">
        <f t="shared" si="217"/>
        <v>Supplies and Services</v>
      </c>
      <c r="X341" s="10" t="str">
        <f>VLOOKUP(U341,'[1]Account code lookup'!A:B,2,0)</f>
        <v>Stationery</v>
      </c>
      <c r="Z341" s="10" t="str">
        <f t="shared" si="221"/>
        <v>Regeneration and Housing</v>
      </c>
      <c r="AA341" s="10" t="str">
        <f t="shared" si="222"/>
        <v>Commercial Development</v>
      </c>
      <c r="AB341" s="10" t="str">
        <f t="shared" si="223"/>
        <v>2cdb</v>
      </c>
      <c r="AD341" s="10" t="str">
        <f t="shared" si="224"/>
        <v>cdb02</v>
      </c>
      <c r="AE341" s="10" t="str">
        <f t="shared" si="218"/>
        <v>Environmental Services / Environmental Services Admin</v>
      </c>
      <c r="AG341" s="10" t="str">
        <f t="shared" si="225"/>
        <v>28650/1444</v>
      </c>
      <c r="AI341" s="10" t="str">
        <f t="shared" si="219"/>
        <v>14suse</v>
      </c>
      <c r="AJ341" s="15" t="str">
        <f>"RED &amp; BLACK MONTHLY CALENDAR"</f>
        <v>RED &amp; BLACK MONTHLY CALENDAR</v>
      </c>
      <c r="AK341" s="10" t="str">
        <f t="shared" si="220"/>
        <v>Revenue</v>
      </c>
      <c r="AL341" s="10" t="str">
        <f>""</f>
        <v/>
      </c>
      <c r="AM341" s="10" t="str">
        <f>""</f>
        <v/>
      </c>
      <c r="AN341" s="10" t="str">
        <f>""</f>
        <v/>
      </c>
      <c r="AO341" s="10" t="str">
        <f>""</f>
        <v/>
      </c>
    </row>
    <row r="342" spans="1:41" s="10" customFormat="1" ht="409.6">
      <c r="A342" s="9"/>
      <c r="B342" s="9"/>
      <c r="C342" s="9"/>
      <c r="D342" s="10" t="str">
        <f>"29235"</f>
        <v>29235</v>
      </c>
      <c r="E342" s="11" t="str">
        <f>""</f>
        <v/>
      </c>
      <c r="F342" s="11" t="str">
        <f t="shared" si="190"/>
        <v>372418</v>
      </c>
      <c r="G342" s="11" t="str">
        <f t="shared" si="191"/>
        <v>2017toJAN</v>
      </c>
      <c r="H342" s="11" t="str">
        <f t="shared" si="192"/>
        <v>CRSP06B</v>
      </c>
      <c r="I342" s="11" t="str">
        <f t="shared" si="193"/>
        <v>34</v>
      </c>
      <c r="J342" s="11" t="str">
        <f t="shared" si="194"/>
        <v>Creditor</v>
      </c>
      <c r="K342" s="11" t="str">
        <f t="shared" si="210"/>
        <v>CS000551</v>
      </c>
      <c r="L342" s="10" t="str">
        <f t="shared" si="211"/>
        <v>Lyreco UK Ltd</v>
      </c>
      <c r="M342" s="12" t="str">
        <f t="shared" si="212"/>
        <v>25/01/2017 00:00:00</v>
      </c>
      <c r="N342" s="12">
        <v>42760</v>
      </c>
      <c r="O342" s="10" t="str">
        <f t="shared" si="213"/>
        <v>C008069</v>
      </c>
      <c r="P342" s="13">
        <v>8.09</v>
      </c>
      <c r="Q342" s="11" t="str">
        <f>"8.0900"</f>
        <v>8.0900</v>
      </c>
      <c r="R342" s="10" t="str">
        <f t="shared" si="214"/>
        <v>C0004552</v>
      </c>
      <c r="S342" s="14" t="str">
        <f t="shared" si="215"/>
        <v>2129.8300</v>
      </c>
      <c r="T342" s="10">
        <v>28650</v>
      </c>
      <c r="U342" s="10">
        <v>1444</v>
      </c>
      <c r="V342" s="10" t="str">
        <f t="shared" si="216"/>
        <v>Printing Stationery &amp; Off Supp</v>
      </c>
      <c r="W342" s="10" t="str">
        <f t="shared" si="217"/>
        <v>Supplies and Services</v>
      </c>
      <c r="X342" s="10" t="str">
        <f>VLOOKUP(U342,'[1]Account code lookup'!A:B,2,0)</f>
        <v>Stationery</v>
      </c>
      <c r="Z342" s="10" t="str">
        <f t="shared" si="221"/>
        <v>Regeneration and Housing</v>
      </c>
      <c r="AA342" s="10" t="str">
        <f t="shared" si="222"/>
        <v>Commercial Development</v>
      </c>
      <c r="AB342" s="10" t="str">
        <f t="shared" si="223"/>
        <v>2cdb</v>
      </c>
      <c r="AD342" s="10" t="str">
        <f t="shared" si="224"/>
        <v>cdb02</v>
      </c>
      <c r="AE342" s="10" t="str">
        <f t="shared" si="218"/>
        <v>Environmental Services / Environmental Services Admin</v>
      </c>
      <c r="AG342" s="10" t="str">
        <f t="shared" si="225"/>
        <v>28650/1444</v>
      </c>
      <c r="AI342" s="10" t="str">
        <f t="shared" si="219"/>
        <v>14suse</v>
      </c>
      <c r="AJ342" s="15" t="str">
        <f>"RUBBER BANDS 3MM X 100MM - 454G BOX"</f>
        <v>RUBBER BANDS 3MM X 100MM - 454G BOX</v>
      </c>
      <c r="AK342" s="10" t="str">
        <f t="shared" si="220"/>
        <v>Revenue</v>
      </c>
      <c r="AL342" s="10" t="str">
        <f>""</f>
        <v/>
      </c>
      <c r="AM342" s="10" t="str">
        <f>""</f>
        <v/>
      </c>
      <c r="AN342" s="10" t="str">
        <f>""</f>
        <v/>
      </c>
      <c r="AO342" s="10" t="str">
        <f>""</f>
        <v/>
      </c>
    </row>
    <row r="343" spans="1:41" s="10" customFormat="1" ht="409.6">
      <c r="A343" s="9"/>
      <c r="B343" s="9"/>
      <c r="C343" s="9"/>
      <c r="D343" s="10" t="str">
        <f>"29998"</f>
        <v>29998</v>
      </c>
      <c r="E343" s="11" t="str">
        <f>""</f>
        <v/>
      </c>
      <c r="F343" s="11" t="str">
        <f t="shared" si="190"/>
        <v>372418</v>
      </c>
      <c r="G343" s="11" t="str">
        <f t="shared" si="191"/>
        <v>2017toJAN</v>
      </c>
      <c r="H343" s="11" t="str">
        <f t="shared" si="192"/>
        <v>CRSP06B</v>
      </c>
      <c r="I343" s="11" t="str">
        <f t="shared" si="193"/>
        <v>34</v>
      </c>
      <c r="J343" s="11" t="str">
        <f t="shared" si="194"/>
        <v>Creditor</v>
      </c>
      <c r="K343" s="11" t="str">
        <f t="shared" si="210"/>
        <v>CS000551</v>
      </c>
      <c r="L343" s="10" t="str">
        <f t="shared" si="211"/>
        <v>Lyreco UK Ltd</v>
      </c>
      <c r="M343" s="12" t="str">
        <f t="shared" si="212"/>
        <v>25/01/2017 00:00:00</v>
      </c>
      <c r="N343" s="12">
        <v>42760</v>
      </c>
      <c r="O343" s="10" t="str">
        <f t="shared" si="213"/>
        <v>C008069</v>
      </c>
      <c r="P343" s="13">
        <v>19.190000000000001</v>
      </c>
      <c r="Q343" s="11" t="str">
        <f>"19.1900"</f>
        <v>19.1900</v>
      </c>
      <c r="R343" s="10" t="str">
        <f t="shared" si="214"/>
        <v>C0004552</v>
      </c>
      <c r="S343" s="14" t="str">
        <f t="shared" si="215"/>
        <v>2129.8300</v>
      </c>
      <c r="T343" s="10">
        <v>28650</v>
      </c>
      <c r="U343" s="10">
        <v>1444</v>
      </c>
      <c r="V343" s="10" t="str">
        <f t="shared" si="216"/>
        <v>Printing Stationery &amp; Off Supp</v>
      </c>
      <c r="W343" s="10" t="str">
        <f t="shared" si="217"/>
        <v>Supplies and Services</v>
      </c>
      <c r="X343" s="10" t="str">
        <f>VLOOKUP(U343,'[1]Account code lookup'!A:B,2,0)</f>
        <v>Stationery</v>
      </c>
      <c r="Z343" s="10" t="str">
        <f t="shared" si="221"/>
        <v>Regeneration and Housing</v>
      </c>
      <c r="AA343" s="10" t="str">
        <f t="shared" si="222"/>
        <v>Commercial Development</v>
      </c>
      <c r="AB343" s="10" t="str">
        <f t="shared" si="223"/>
        <v>2cdb</v>
      </c>
      <c r="AD343" s="10" t="str">
        <f t="shared" si="224"/>
        <v>cdb02</v>
      </c>
      <c r="AE343" s="10" t="str">
        <f t="shared" si="218"/>
        <v>Environmental Services / Environmental Services Admin</v>
      </c>
      <c r="AG343" s="10" t="str">
        <f t="shared" si="225"/>
        <v>28650/1444</v>
      </c>
      <c r="AI343" s="10" t="str">
        <f t="shared" si="219"/>
        <v>14suse</v>
      </c>
      <c r="AJ343" s="15" t="str">
        <f>"TIPP-EX RAPID CORRECTION FLUID BOTTLE 20ML - BOX OF 15   5 FREE"</f>
        <v>TIPP-EX RAPID CORRECTION FLUID BOTTLE 20ML - BOX OF 15   5 FREE</v>
      </c>
      <c r="AK343" s="10" t="str">
        <f t="shared" si="220"/>
        <v>Revenue</v>
      </c>
      <c r="AL343" s="10" t="str">
        <f>""</f>
        <v/>
      </c>
      <c r="AM343" s="10" t="str">
        <f>""</f>
        <v/>
      </c>
      <c r="AN343" s="10" t="str">
        <f>""</f>
        <v/>
      </c>
      <c r="AO343" s="10" t="str">
        <f>""</f>
        <v/>
      </c>
    </row>
    <row r="344" spans="1:41" s="10" customFormat="1" ht="409.6">
      <c r="A344" s="9"/>
      <c r="B344" s="9"/>
      <c r="C344" s="9"/>
      <c r="D344" s="10" t="str">
        <f>"30748"</f>
        <v>30748</v>
      </c>
      <c r="E344" s="11" t="str">
        <f>""</f>
        <v/>
      </c>
      <c r="F344" s="11" t="str">
        <f t="shared" si="190"/>
        <v>372418</v>
      </c>
      <c r="G344" s="11" t="str">
        <f t="shared" si="191"/>
        <v>2017toJAN</v>
      </c>
      <c r="H344" s="11" t="str">
        <f t="shared" si="192"/>
        <v>CRSP06B</v>
      </c>
      <c r="I344" s="11" t="str">
        <f t="shared" si="193"/>
        <v>34</v>
      </c>
      <c r="J344" s="11" t="str">
        <f t="shared" si="194"/>
        <v>Creditor</v>
      </c>
      <c r="K344" s="11" t="str">
        <f t="shared" si="210"/>
        <v>CS000551</v>
      </c>
      <c r="L344" s="10" t="str">
        <f t="shared" si="211"/>
        <v>Lyreco UK Ltd</v>
      </c>
      <c r="M344" s="12" t="str">
        <f t="shared" si="212"/>
        <v>25/01/2017 00:00:00</v>
      </c>
      <c r="N344" s="12">
        <v>42760</v>
      </c>
      <c r="O344" s="10" t="str">
        <f t="shared" si="213"/>
        <v>C008069</v>
      </c>
      <c r="P344" s="13">
        <v>33.08</v>
      </c>
      <c r="Q344" s="11" t="str">
        <f>"33.0800"</f>
        <v>33.0800</v>
      </c>
      <c r="R344" s="10" t="str">
        <f t="shared" si="214"/>
        <v>C0004552</v>
      </c>
      <c r="S344" s="14" t="str">
        <f t="shared" si="215"/>
        <v>2129.8300</v>
      </c>
      <c r="T344" s="10">
        <v>29115</v>
      </c>
      <c r="U344" s="10">
        <v>1444</v>
      </c>
      <c r="V344" s="10" t="str">
        <f t="shared" si="216"/>
        <v>Printing Stationery &amp; Off Supp</v>
      </c>
      <c r="W344" s="10" t="str">
        <f t="shared" si="217"/>
        <v>Supplies and Services</v>
      </c>
      <c r="X344" s="10" t="str">
        <f>VLOOKUP(U344,'[1]Account code lookup'!A:B,2,0)</f>
        <v>Stationery</v>
      </c>
      <c r="Z344" s="10" t="str">
        <f t="shared" ref="Z344:Z366" si="226">"Development Management"</f>
        <v>Development Management</v>
      </c>
      <c r="AA344" s="10" t="str">
        <f t="shared" ref="AA344:AA367" si="227">"Strategy and Commissioning"</f>
        <v>Strategy and Commissioning</v>
      </c>
      <c r="AB344" s="10" t="str">
        <f t="shared" ref="AB344:AB367" si="228">"4sac"</f>
        <v>4sac</v>
      </c>
      <c r="AD344" s="10" t="str">
        <f t="shared" ref="AD344:AD366" si="229">"sac02"</f>
        <v>sac02</v>
      </c>
      <c r="AE344" s="10" t="str">
        <f t="shared" si="218"/>
        <v>Environmental Services / Environmental Services Admin</v>
      </c>
      <c r="AG344" s="10" t="str">
        <f t="shared" ref="AG344:AG366" si="230">"29115/1444"</f>
        <v>29115/1444</v>
      </c>
      <c r="AI344" s="10" t="str">
        <f t="shared" si="219"/>
        <v>14suse</v>
      </c>
      <c r="AJ344" s="15" t="str">
        <f>"COTTON TWINE 500G - 250M LONG"</f>
        <v>COTTON TWINE 500G - 250M LONG</v>
      </c>
      <c r="AK344" s="10" t="str">
        <f t="shared" si="220"/>
        <v>Revenue</v>
      </c>
      <c r="AL344" s="10" t="str">
        <f>""</f>
        <v/>
      </c>
      <c r="AM344" s="10" t="str">
        <f>""</f>
        <v/>
      </c>
      <c r="AN344" s="10" t="str">
        <f>""</f>
        <v/>
      </c>
      <c r="AO344" s="10" t="str">
        <f>""</f>
        <v/>
      </c>
    </row>
    <row r="345" spans="1:41" s="10" customFormat="1" ht="409.6">
      <c r="A345" s="9"/>
      <c r="B345" s="9"/>
      <c r="C345" s="9"/>
      <c r="D345" s="10" t="str">
        <f>"30953"</f>
        <v>30953</v>
      </c>
      <c r="E345" s="11" t="str">
        <f>""</f>
        <v/>
      </c>
      <c r="F345" s="11" t="str">
        <f t="shared" si="190"/>
        <v>372418</v>
      </c>
      <c r="G345" s="11" t="str">
        <f t="shared" si="191"/>
        <v>2017toJAN</v>
      </c>
      <c r="H345" s="11" t="str">
        <f t="shared" si="192"/>
        <v>CRSP06B</v>
      </c>
      <c r="I345" s="11" t="str">
        <f t="shared" si="193"/>
        <v>34</v>
      </c>
      <c r="J345" s="11" t="str">
        <f t="shared" si="194"/>
        <v>Creditor</v>
      </c>
      <c r="K345" s="11" t="str">
        <f t="shared" si="210"/>
        <v>CS000551</v>
      </c>
      <c r="L345" s="10" t="str">
        <f t="shared" si="211"/>
        <v>Lyreco UK Ltd</v>
      </c>
      <c r="M345" s="12" t="str">
        <f t="shared" si="212"/>
        <v>25/01/2017 00:00:00</v>
      </c>
      <c r="N345" s="12">
        <v>42760</v>
      </c>
      <c r="O345" s="10" t="str">
        <f t="shared" si="213"/>
        <v>C008069</v>
      </c>
      <c r="P345" s="13">
        <v>0.9</v>
      </c>
      <c r="Q345" s="11" t="str">
        <f>"0.9000"</f>
        <v>0.9000</v>
      </c>
      <c r="R345" s="10" t="str">
        <f t="shared" si="214"/>
        <v>C0004552</v>
      </c>
      <c r="S345" s="14" t="str">
        <f t="shared" si="215"/>
        <v>2129.8300</v>
      </c>
      <c r="T345" s="10">
        <v>29115</v>
      </c>
      <c r="U345" s="10">
        <v>1444</v>
      </c>
      <c r="V345" s="10" t="str">
        <f t="shared" si="216"/>
        <v>Printing Stationery &amp; Off Supp</v>
      </c>
      <c r="W345" s="10" t="str">
        <f t="shared" si="217"/>
        <v>Supplies and Services</v>
      </c>
      <c r="X345" s="10" t="str">
        <f>VLOOKUP(U345,'[1]Account code lookup'!A:B,2,0)</f>
        <v>Stationery</v>
      </c>
      <c r="Z345" s="10" t="str">
        <f t="shared" si="226"/>
        <v>Development Management</v>
      </c>
      <c r="AA345" s="10" t="str">
        <f t="shared" si="227"/>
        <v>Strategy and Commissioning</v>
      </c>
      <c r="AB345" s="10" t="str">
        <f t="shared" si="228"/>
        <v>4sac</v>
      </c>
      <c r="AD345" s="10" t="str">
        <f t="shared" si="229"/>
        <v>sac02</v>
      </c>
      <c r="AE345" s="10" t="str">
        <f t="shared" si="218"/>
        <v>Environmental Services / Environmental Services Admin</v>
      </c>
      <c r="AG345" s="10" t="str">
        <f t="shared" si="230"/>
        <v>29115/1444</v>
      </c>
      <c r="AI345" s="10" t="str">
        <f t="shared" si="219"/>
        <v>14suse</v>
      </c>
      <c r="AJ345" s="15" t="str">
        <f>"DRAWING PINS BRASS 10MM - BOX OF 100"</f>
        <v>DRAWING PINS BRASS 10MM - BOX OF 100</v>
      </c>
      <c r="AK345" s="10" t="str">
        <f t="shared" si="220"/>
        <v>Revenue</v>
      </c>
      <c r="AL345" s="10" t="str">
        <f>""</f>
        <v/>
      </c>
      <c r="AM345" s="10" t="str">
        <f>""</f>
        <v/>
      </c>
      <c r="AN345" s="10" t="str">
        <f>""</f>
        <v/>
      </c>
      <c r="AO345" s="10" t="str">
        <f>""</f>
        <v/>
      </c>
    </row>
    <row r="346" spans="1:41" s="10" customFormat="1" ht="409.6">
      <c r="A346" s="9"/>
      <c r="B346" s="9"/>
      <c r="C346" s="9"/>
      <c r="D346" s="10" t="str">
        <f>"30954"</f>
        <v>30954</v>
      </c>
      <c r="E346" s="11" t="str">
        <f>""</f>
        <v/>
      </c>
      <c r="F346" s="11" t="str">
        <f t="shared" si="190"/>
        <v>372418</v>
      </c>
      <c r="G346" s="11" t="str">
        <f t="shared" si="191"/>
        <v>2017toJAN</v>
      </c>
      <c r="H346" s="11" t="str">
        <f t="shared" si="192"/>
        <v>CRSP06B</v>
      </c>
      <c r="I346" s="11" t="str">
        <f t="shared" si="193"/>
        <v>34</v>
      </c>
      <c r="J346" s="11" t="str">
        <f t="shared" si="194"/>
        <v>Creditor</v>
      </c>
      <c r="K346" s="11" t="str">
        <f t="shared" si="210"/>
        <v>CS000551</v>
      </c>
      <c r="L346" s="10" t="str">
        <f t="shared" si="211"/>
        <v>Lyreco UK Ltd</v>
      </c>
      <c r="M346" s="12" t="str">
        <f t="shared" si="212"/>
        <v>25/01/2017 00:00:00</v>
      </c>
      <c r="N346" s="12">
        <v>42760</v>
      </c>
      <c r="O346" s="10" t="str">
        <f t="shared" si="213"/>
        <v>C008069</v>
      </c>
      <c r="P346" s="13">
        <v>4.28</v>
      </c>
      <c r="Q346" s="11" t="str">
        <f>"4.2800"</f>
        <v>4.2800</v>
      </c>
      <c r="R346" s="10" t="str">
        <f t="shared" si="214"/>
        <v>C0004552</v>
      </c>
      <c r="S346" s="14" t="str">
        <f t="shared" si="215"/>
        <v>2129.8300</v>
      </c>
      <c r="T346" s="10">
        <v>29115</v>
      </c>
      <c r="U346" s="10">
        <v>1444</v>
      </c>
      <c r="V346" s="10" t="str">
        <f t="shared" si="216"/>
        <v>Printing Stationery &amp; Off Supp</v>
      </c>
      <c r="W346" s="10" t="str">
        <f t="shared" si="217"/>
        <v>Supplies and Services</v>
      </c>
      <c r="X346" s="10" t="str">
        <f>VLOOKUP(U346,'[1]Account code lookup'!A:B,2,0)</f>
        <v>Stationery</v>
      </c>
      <c r="Z346" s="10" t="str">
        <f t="shared" si="226"/>
        <v>Development Management</v>
      </c>
      <c r="AA346" s="10" t="str">
        <f t="shared" si="227"/>
        <v>Strategy and Commissioning</v>
      </c>
      <c r="AB346" s="10" t="str">
        <f t="shared" si="228"/>
        <v>4sac</v>
      </c>
      <c r="AD346" s="10" t="str">
        <f t="shared" si="229"/>
        <v>sac02</v>
      </c>
      <c r="AE346" s="10" t="str">
        <f t="shared" si="218"/>
        <v>Environmental Services / Environmental Services Admin</v>
      </c>
      <c r="AG346" s="10" t="str">
        <f t="shared" si="230"/>
        <v>29115/1444</v>
      </c>
      <c r="AI346" s="10" t="str">
        <f t="shared" si="219"/>
        <v>14suse</v>
      </c>
      <c r="AJ346" s="15" t="str">
        <f>"ENERGIZER 1ST PRICE BATTERIES LR6/AA - PACK OF 10"</f>
        <v>ENERGIZER 1ST PRICE BATTERIES LR6/AA - PACK OF 10</v>
      </c>
      <c r="AK346" s="10" t="str">
        <f t="shared" si="220"/>
        <v>Revenue</v>
      </c>
      <c r="AL346" s="10" t="str">
        <f>""</f>
        <v/>
      </c>
      <c r="AM346" s="10" t="str">
        <f>""</f>
        <v/>
      </c>
      <c r="AN346" s="10" t="str">
        <f>""</f>
        <v/>
      </c>
      <c r="AO346" s="10" t="str">
        <f>""</f>
        <v/>
      </c>
    </row>
    <row r="347" spans="1:41" s="10" customFormat="1" ht="409.6">
      <c r="A347" s="9"/>
      <c r="B347" s="9"/>
      <c r="C347" s="9"/>
      <c r="D347" s="10" t="str">
        <f>"32022"</f>
        <v>32022</v>
      </c>
      <c r="E347" s="11" t="str">
        <f>""</f>
        <v/>
      </c>
      <c r="F347" s="11" t="str">
        <f t="shared" si="190"/>
        <v>372418</v>
      </c>
      <c r="G347" s="11" t="str">
        <f t="shared" si="191"/>
        <v>2017toJAN</v>
      </c>
      <c r="H347" s="11" t="str">
        <f t="shared" si="192"/>
        <v>CRSP06B</v>
      </c>
      <c r="I347" s="11" t="str">
        <f t="shared" si="193"/>
        <v>34</v>
      </c>
      <c r="J347" s="11" t="str">
        <f t="shared" si="194"/>
        <v>Creditor</v>
      </c>
      <c r="K347" s="11" t="str">
        <f t="shared" si="210"/>
        <v>CS000551</v>
      </c>
      <c r="L347" s="10" t="str">
        <f t="shared" si="211"/>
        <v>Lyreco UK Ltd</v>
      </c>
      <c r="M347" s="12" t="str">
        <f t="shared" si="212"/>
        <v>25/01/2017 00:00:00</v>
      </c>
      <c r="N347" s="12">
        <v>42760</v>
      </c>
      <c r="O347" s="10" t="str">
        <f t="shared" si="213"/>
        <v>C008069</v>
      </c>
      <c r="P347" s="13">
        <v>5.92</v>
      </c>
      <c r="Q347" s="11" t="str">
        <f>"5.9200"</f>
        <v>5.9200</v>
      </c>
      <c r="R347" s="10" t="str">
        <f t="shared" si="214"/>
        <v>C0004552</v>
      </c>
      <c r="S347" s="14" t="str">
        <f t="shared" si="215"/>
        <v>2129.8300</v>
      </c>
      <c r="T347" s="10">
        <v>29115</v>
      </c>
      <c r="U347" s="10">
        <v>1444</v>
      </c>
      <c r="V347" s="10" t="str">
        <f t="shared" si="216"/>
        <v>Printing Stationery &amp; Off Supp</v>
      </c>
      <c r="W347" s="10" t="str">
        <f t="shared" si="217"/>
        <v>Supplies and Services</v>
      </c>
      <c r="X347" s="10" t="str">
        <f>VLOOKUP(U347,'[1]Account code lookup'!A:B,2,0)</f>
        <v>Stationery</v>
      </c>
      <c r="Z347" s="10" t="str">
        <f t="shared" si="226"/>
        <v>Development Management</v>
      </c>
      <c r="AA347" s="10" t="str">
        <f t="shared" si="227"/>
        <v>Strategy and Commissioning</v>
      </c>
      <c r="AB347" s="10" t="str">
        <f t="shared" si="228"/>
        <v>4sac</v>
      </c>
      <c r="AD347" s="10" t="str">
        <f t="shared" si="229"/>
        <v>sac02</v>
      </c>
      <c r="AE347" s="10" t="str">
        <f t="shared" si="218"/>
        <v>Environmental Services / Environmental Services Admin</v>
      </c>
      <c r="AG347" s="10" t="str">
        <f t="shared" si="230"/>
        <v>29115/1444</v>
      </c>
      <c r="AI347" s="10" t="str">
        <f t="shared" si="219"/>
        <v>14suse</v>
      </c>
      <c r="AJ347" s="15" t="str">
        <f>"LYRECO `THINGS TO DO TODAY` BOOK FOR 6 WORKING MONTHS"</f>
        <v>LYRECO `THINGS TO DO TODAY` BOOK FOR 6 WORKING MONTHS</v>
      </c>
      <c r="AK347" s="10" t="str">
        <f t="shared" si="220"/>
        <v>Revenue</v>
      </c>
      <c r="AL347" s="10" t="str">
        <f>""</f>
        <v/>
      </c>
      <c r="AM347" s="10" t="str">
        <f>""</f>
        <v/>
      </c>
      <c r="AN347" s="10" t="str">
        <f>""</f>
        <v/>
      </c>
      <c r="AO347" s="10" t="str">
        <f>""</f>
        <v/>
      </c>
    </row>
    <row r="348" spans="1:41" s="10" customFormat="1" ht="409.6">
      <c r="A348" s="9"/>
      <c r="B348" s="9"/>
      <c r="C348" s="9"/>
      <c r="D348" s="10" t="str">
        <f>"32023"</f>
        <v>32023</v>
      </c>
      <c r="E348" s="11" t="str">
        <f>""</f>
        <v/>
      </c>
      <c r="F348" s="11" t="str">
        <f t="shared" si="190"/>
        <v>372418</v>
      </c>
      <c r="G348" s="11" t="str">
        <f t="shared" si="191"/>
        <v>2017toJAN</v>
      </c>
      <c r="H348" s="11" t="str">
        <f t="shared" si="192"/>
        <v>CRSP06B</v>
      </c>
      <c r="I348" s="11" t="str">
        <f t="shared" si="193"/>
        <v>34</v>
      </c>
      <c r="J348" s="11" t="str">
        <f t="shared" si="194"/>
        <v>Creditor</v>
      </c>
      <c r="K348" s="11" t="str">
        <f t="shared" si="210"/>
        <v>CS000551</v>
      </c>
      <c r="L348" s="10" t="str">
        <f t="shared" si="211"/>
        <v>Lyreco UK Ltd</v>
      </c>
      <c r="M348" s="12" t="str">
        <f t="shared" si="212"/>
        <v>25/01/2017 00:00:00</v>
      </c>
      <c r="N348" s="12">
        <v>42760</v>
      </c>
      <c r="O348" s="10" t="str">
        <f t="shared" si="213"/>
        <v>C008069</v>
      </c>
      <c r="P348" s="13">
        <v>1.45</v>
      </c>
      <c r="Q348" s="11" t="str">
        <f>"1.4500"</f>
        <v>1.4500</v>
      </c>
      <c r="R348" s="10" t="str">
        <f t="shared" si="214"/>
        <v>C0004552</v>
      </c>
      <c r="S348" s="14" t="str">
        <f t="shared" si="215"/>
        <v>2129.8300</v>
      </c>
      <c r="T348" s="10">
        <v>29115</v>
      </c>
      <c r="U348" s="10">
        <v>1444</v>
      </c>
      <c r="V348" s="10" t="str">
        <f t="shared" si="216"/>
        <v>Printing Stationery &amp; Off Supp</v>
      </c>
      <c r="W348" s="10" t="str">
        <f t="shared" si="217"/>
        <v>Supplies and Services</v>
      </c>
      <c r="X348" s="10" t="str">
        <f>VLOOKUP(U348,'[1]Account code lookup'!A:B,2,0)</f>
        <v>Stationery</v>
      </c>
      <c r="Z348" s="10" t="str">
        <f t="shared" si="226"/>
        <v>Development Management</v>
      </c>
      <c r="AA348" s="10" t="str">
        <f t="shared" si="227"/>
        <v>Strategy and Commissioning</v>
      </c>
      <c r="AB348" s="10" t="str">
        <f t="shared" si="228"/>
        <v>4sac</v>
      </c>
      <c r="AD348" s="10" t="str">
        <f t="shared" si="229"/>
        <v>sac02</v>
      </c>
      <c r="AE348" s="10" t="str">
        <f t="shared" si="218"/>
        <v>Environmental Services / Environmental Services Admin</v>
      </c>
      <c r="AG348" s="10" t="str">
        <f t="shared" si="230"/>
        <v>29115/1444</v>
      </c>
      <c r="AI348" s="10" t="str">
        <f t="shared" si="219"/>
        <v>14suse</v>
      </c>
      <c r="AJ348" s="15" t="str">
        <f>"LYRECO A4 RULED MANUSCRIPT BOOK - 96 SHEETS"</f>
        <v>LYRECO A4 RULED MANUSCRIPT BOOK - 96 SHEETS</v>
      </c>
      <c r="AK348" s="10" t="str">
        <f t="shared" si="220"/>
        <v>Revenue</v>
      </c>
      <c r="AL348" s="10" t="str">
        <f>""</f>
        <v/>
      </c>
      <c r="AM348" s="10" t="str">
        <f>""</f>
        <v/>
      </c>
      <c r="AN348" s="10" t="str">
        <f>""</f>
        <v/>
      </c>
      <c r="AO348" s="10" t="str">
        <f>""</f>
        <v/>
      </c>
    </row>
    <row r="349" spans="1:41" s="10" customFormat="1" ht="409.6">
      <c r="A349" s="9"/>
      <c r="B349" s="9"/>
      <c r="C349" s="9"/>
      <c r="D349" s="10" t="str">
        <f>"32145"</f>
        <v>32145</v>
      </c>
      <c r="E349" s="11" t="str">
        <f>""</f>
        <v/>
      </c>
      <c r="F349" s="11" t="str">
        <f t="shared" si="190"/>
        <v>372418</v>
      </c>
      <c r="G349" s="11" t="str">
        <f t="shared" si="191"/>
        <v>2017toJAN</v>
      </c>
      <c r="H349" s="11" t="str">
        <f t="shared" si="192"/>
        <v>CRSP06B</v>
      </c>
      <c r="I349" s="11" t="str">
        <f t="shared" si="193"/>
        <v>34</v>
      </c>
      <c r="J349" s="11" t="str">
        <f t="shared" si="194"/>
        <v>Creditor</v>
      </c>
      <c r="K349" s="11" t="str">
        <f t="shared" si="210"/>
        <v>CS000551</v>
      </c>
      <c r="L349" s="10" t="str">
        <f t="shared" si="211"/>
        <v>Lyreco UK Ltd</v>
      </c>
      <c r="M349" s="12" t="str">
        <f t="shared" si="212"/>
        <v>25/01/2017 00:00:00</v>
      </c>
      <c r="N349" s="12">
        <v>42760</v>
      </c>
      <c r="O349" s="10" t="str">
        <f t="shared" si="213"/>
        <v>C008069</v>
      </c>
      <c r="P349" s="13">
        <v>2.02</v>
      </c>
      <c r="Q349" s="11" t="str">
        <f>"2.0200"</f>
        <v>2.0200</v>
      </c>
      <c r="R349" s="10" t="str">
        <f t="shared" si="214"/>
        <v>C0004552</v>
      </c>
      <c r="S349" s="14" t="str">
        <f t="shared" si="215"/>
        <v>2129.8300</v>
      </c>
      <c r="T349" s="10">
        <v>29115</v>
      </c>
      <c r="U349" s="10">
        <v>1444</v>
      </c>
      <c r="V349" s="10" t="str">
        <f t="shared" si="216"/>
        <v>Printing Stationery &amp; Off Supp</v>
      </c>
      <c r="W349" s="10" t="str">
        <f t="shared" si="217"/>
        <v>Supplies and Services</v>
      </c>
      <c r="X349" s="10" t="str">
        <f>VLOOKUP(U349,'[1]Account code lookup'!A:B,2,0)</f>
        <v>Stationery</v>
      </c>
      <c r="Z349" s="10" t="str">
        <f t="shared" si="226"/>
        <v>Development Management</v>
      </c>
      <c r="AA349" s="10" t="str">
        <f t="shared" si="227"/>
        <v>Strategy and Commissioning</v>
      </c>
      <c r="AB349" s="10" t="str">
        <f t="shared" si="228"/>
        <v>4sac</v>
      </c>
      <c r="AD349" s="10" t="str">
        <f t="shared" si="229"/>
        <v>sac02</v>
      </c>
      <c r="AE349" s="10" t="str">
        <f t="shared" si="218"/>
        <v>Environmental Services / Environmental Services Admin</v>
      </c>
      <c r="AG349" s="10" t="str">
        <f t="shared" si="230"/>
        <v>29115/1444</v>
      </c>
      <c r="AI349" s="10" t="str">
        <f t="shared" si="219"/>
        <v>14suse</v>
      </c>
      <c r="AJ349" s="15" t="str">
        <f>"LYRECO A5 DESK DIARY BLACK - WEEK TO VIEW"</f>
        <v>LYRECO A5 DESK DIARY BLACK - WEEK TO VIEW</v>
      </c>
      <c r="AK349" s="10" t="str">
        <f t="shared" si="220"/>
        <v>Revenue</v>
      </c>
      <c r="AL349" s="10" t="str">
        <f>""</f>
        <v/>
      </c>
      <c r="AM349" s="10" t="str">
        <f>""</f>
        <v/>
      </c>
      <c r="AN349" s="10" t="str">
        <f>""</f>
        <v/>
      </c>
      <c r="AO349" s="10" t="str">
        <f>""</f>
        <v/>
      </c>
    </row>
    <row r="350" spans="1:41" s="10" customFormat="1" ht="409.6">
      <c r="A350" s="9"/>
      <c r="B350" s="9"/>
      <c r="C350" s="9"/>
      <c r="D350" s="10" t="str">
        <f>"32164"</f>
        <v>32164</v>
      </c>
      <c r="E350" s="11" t="str">
        <f>""</f>
        <v/>
      </c>
      <c r="F350" s="11" t="str">
        <f t="shared" si="190"/>
        <v>372418</v>
      </c>
      <c r="G350" s="11" t="str">
        <f t="shared" si="191"/>
        <v>2017toJAN</v>
      </c>
      <c r="H350" s="11" t="str">
        <f t="shared" si="192"/>
        <v>CRSP06B</v>
      </c>
      <c r="I350" s="11" t="str">
        <f t="shared" si="193"/>
        <v>34</v>
      </c>
      <c r="J350" s="11" t="str">
        <f t="shared" si="194"/>
        <v>Creditor</v>
      </c>
      <c r="K350" s="11" t="str">
        <f t="shared" si="210"/>
        <v>CS000551</v>
      </c>
      <c r="L350" s="10" t="str">
        <f t="shared" si="211"/>
        <v>Lyreco UK Ltd</v>
      </c>
      <c r="M350" s="12" t="str">
        <f t="shared" si="212"/>
        <v>25/01/2017 00:00:00</v>
      </c>
      <c r="N350" s="12">
        <v>42760</v>
      </c>
      <c r="O350" s="10" t="str">
        <f t="shared" si="213"/>
        <v>C008069</v>
      </c>
      <c r="P350" s="13">
        <v>11.25</v>
      </c>
      <c r="Q350" s="11" t="str">
        <f>"11.2500"</f>
        <v>11.2500</v>
      </c>
      <c r="R350" s="10" t="str">
        <f t="shared" si="214"/>
        <v>C0004552</v>
      </c>
      <c r="S350" s="14" t="str">
        <f t="shared" si="215"/>
        <v>2129.8300</v>
      </c>
      <c r="T350" s="10">
        <v>29115</v>
      </c>
      <c r="U350" s="10">
        <v>1444</v>
      </c>
      <c r="V350" s="10" t="str">
        <f t="shared" si="216"/>
        <v>Printing Stationery &amp; Off Supp</v>
      </c>
      <c r="W350" s="10" t="str">
        <f t="shared" si="217"/>
        <v>Supplies and Services</v>
      </c>
      <c r="X350" s="10" t="str">
        <f>VLOOKUP(U350,'[1]Account code lookup'!A:B,2,0)</f>
        <v>Stationery</v>
      </c>
      <c r="Z350" s="10" t="str">
        <f t="shared" si="226"/>
        <v>Development Management</v>
      </c>
      <c r="AA350" s="10" t="str">
        <f t="shared" si="227"/>
        <v>Strategy and Commissioning</v>
      </c>
      <c r="AB350" s="10" t="str">
        <f t="shared" si="228"/>
        <v>4sac</v>
      </c>
      <c r="AD350" s="10" t="str">
        <f t="shared" si="229"/>
        <v>sac02</v>
      </c>
      <c r="AE350" s="10" t="str">
        <f t="shared" si="218"/>
        <v>Environmental Services / Environmental Services Admin</v>
      </c>
      <c r="AG350" s="10" t="str">
        <f t="shared" si="230"/>
        <v>29115/1444</v>
      </c>
      <c r="AI350" s="10" t="str">
        <f t="shared" si="219"/>
        <v>14suse</v>
      </c>
      <c r="AJ350" s="15" t="str">
        <f>"LYRECO BLACK A4 21-RING PLASTIC COMBS 8MM - 40 SHEET CAPACITY - BOX OF 100"</f>
        <v>LYRECO BLACK A4 21-RING PLASTIC COMBS 8MM - 40 SHEET CAPACITY - BOX OF 100</v>
      </c>
      <c r="AK350" s="10" t="str">
        <f t="shared" si="220"/>
        <v>Revenue</v>
      </c>
      <c r="AL350" s="10" t="str">
        <f>""</f>
        <v/>
      </c>
      <c r="AM350" s="10" t="str">
        <f>""</f>
        <v/>
      </c>
      <c r="AN350" s="10" t="str">
        <f>""</f>
        <v/>
      </c>
      <c r="AO350" s="10" t="str">
        <f>""</f>
        <v/>
      </c>
    </row>
    <row r="351" spans="1:41" s="10" customFormat="1" ht="409.6">
      <c r="A351" s="9"/>
      <c r="B351" s="9"/>
      <c r="C351" s="9"/>
      <c r="D351" s="10" t="str">
        <f>"32498"</f>
        <v>32498</v>
      </c>
      <c r="E351" s="11" t="str">
        <f>""</f>
        <v/>
      </c>
      <c r="F351" s="11" t="str">
        <f t="shared" ref="F351:F414" si="231">"372418"</f>
        <v>372418</v>
      </c>
      <c r="G351" s="11" t="str">
        <f t="shared" ref="G351:G414" si="232">"2017toJAN"</f>
        <v>2017toJAN</v>
      </c>
      <c r="H351" s="11" t="str">
        <f t="shared" ref="H351:H414" si="233">"CRSP06B"</f>
        <v>CRSP06B</v>
      </c>
      <c r="I351" s="11" t="str">
        <f t="shared" ref="I351:I414" si="234">"34"</f>
        <v>34</v>
      </c>
      <c r="J351" s="11" t="str">
        <f t="shared" ref="J351:J414" si="235">"Creditor"</f>
        <v>Creditor</v>
      </c>
      <c r="K351" s="11" t="str">
        <f t="shared" si="210"/>
        <v>CS000551</v>
      </c>
      <c r="L351" s="10" t="str">
        <f t="shared" si="211"/>
        <v>Lyreco UK Ltd</v>
      </c>
      <c r="M351" s="12" t="str">
        <f t="shared" si="212"/>
        <v>25/01/2017 00:00:00</v>
      </c>
      <c r="N351" s="12">
        <v>42760</v>
      </c>
      <c r="O351" s="10" t="str">
        <f t="shared" si="213"/>
        <v>C008069</v>
      </c>
      <c r="P351" s="13">
        <v>1.6</v>
      </c>
      <c r="Q351" s="11" t="str">
        <f>"1.6000"</f>
        <v>1.6000</v>
      </c>
      <c r="R351" s="10" t="str">
        <f t="shared" si="214"/>
        <v>C0004552</v>
      </c>
      <c r="S351" s="14" t="str">
        <f t="shared" si="215"/>
        <v>2129.8300</v>
      </c>
      <c r="T351" s="10">
        <v>29115</v>
      </c>
      <c r="U351" s="10">
        <v>1444</v>
      </c>
      <c r="V351" s="10" t="str">
        <f t="shared" si="216"/>
        <v>Printing Stationery &amp; Off Supp</v>
      </c>
      <c r="W351" s="10" t="str">
        <f t="shared" si="217"/>
        <v>Supplies and Services</v>
      </c>
      <c r="X351" s="10" t="str">
        <f>VLOOKUP(U351,'[1]Account code lookup'!A:B,2,0)</f>
        <v>Stationery</v>
      </c>
      <c r="Z351" s="10" t="str">
        <f t="shared" si="226"/>
        <v>Development Management</v>
      </c>
      <c r="AA351" s="10" t="str">
        <f t="shared" si="227"/>
        <v>Strategy and Commissioning</v>
      </c>
      <c r="AB351" s="10" t="str">
        <f t="shared" si="228"/>
        <v>4sac</v>
      </c>
      <c r="AD351" s="10" t="str">
        <f t="shared" si="229"/>
        <v>sac02</v>
      </c>
      <c r="AE351" s="10" t="str">
        <f t="shared" si="218"/>
        <v>Environmental Services / Environmental Services Admin</v>
      </c>
      <c r="AG351" s="10" t="str">
        <f t="shared" si="230"/>
        <v>29115/1444</v>
      </c>
      <c r="AI351" s="10" t="str">
        <f t="shared" si="219"/>
        <v>14suse</v>
      </c>
      <c r="AJ351" s="15" t="str">
        <f>"LYRECO BUDGET ASSORTED COLOUR A4 10 PART DIVIDERS 160GSM"</f>
        <v>LYRECO BUDGET ASSORTED COLOUR A4 10 PART DIVIDERS 160GSM</v>
      </c>
      <c r="AK351" s="10" t="str">
        <f t="shared" si="220"/>
        <v>Revenue</v>
      </c>
      <c r="AL351" s="10" t="str">
        <f>""</f>
        <v/>
      </c>
      <c r="AM351" s="10" t="str">
        <f>""</f>
        <v/>
      </c>
      <c r="AN351" s="10" t="str">
        <f>""</f>
        <v/>
      </c>
      <c r="AO351" s="10" t="str">
        <f>""</f>
        <v/>
      </c>
    </row>
    <row r="352" spans="1:41" s="10" customFormat="1" ht="409.6">
      <c r="A352" s="9"/>
      <c r="B352" s="9"/>
      <c r="C352" s="9"/>
      <c r="D352" s="10" t="str">
        <f>"32970"</f>
        <v>32970</v>
      </c>
      <c r="E352" s="11" t="str">
        <f>""</f>
        <v/>
      </c>
      <c r="F352" s="11" t="str">
        <f t="shared" si="231"/>
        <v>372418</v>
      </c>
      <c r="G352" s="11" t="str">
        <f t="shared" si="232"/>
        <v>2017toJAN</v>
      </c>
      <c r="H352" s="11" t="str">
        <f t="shared" si="233"/>
        <v>CRSP06B</v>
      </c>
      <c r="I352" s="11" t="str">
        <f t="shared" si="234"/>
        <v>34</v>
      </c>
      <c r="J352" s="11" t="str">
        <f t="shared" si="235"/>
        <v>Creditor</v>
      </c>
      <c r="K352" s="11" t="str">
        <f t="shared" si="210"/>
        <v>CS000551</v>
      </c>
      <c r="L352" s="10" t="str">
        <f t="shared" si="211"/>
        <v>Lyreco UK Ltd</v>
      </c>
      <c r="M352" s="12" t="str">
        <f t="shared" si="212"/>
        <v>25/01/2017 00:00:00</v>
      </c>
      <c r="N352" s="12">
        <v>42760</v>
      </c>
      <c r="O352" s="10" t="str">
        <f t="shared" si="213"/>
        <v>C008069</v>
      </c>
      <c r="P352" s="13">
        <v>7.6</v>
      </c>
      <c r="Q352" s="11" t="str">
        <f>"7.6000"</f>
        <v>7.6000</v>
      </c>
      <c r="R352" s="10" t="str">
        <f t="shared" si="214"/>
        <v>C0004552</v>
      </c>
      <c r="S352" s="14" t="str">
        <f t="shared" si="215"/>
        <v>2129.8300</v>
      </c>
      <c r="T352" s="10">
        <v>29115</v>
      </c>
      <c r="U352" s="10">
        <v>1444</v>
      </c>
      <c r="V352" s="10" t="str">
        <f t="shared" si="216"/>
        <v>Printing Stationery &amp; Off Supp</v>
      </c>
      <c r="W352" s="10" t="str">
        <f t="shared" si="217"/>
        <v>Supplies and Services</v>
      </c>
      <c r="X352" s="10" t="str">
        <f>VLOOKUP(U352,'[1]Account code lookup'!A:B,2,0)</f>
        <v>Stationery</v>
      </c>
      <c r="Z352" s="10" t="str">
        <f t="shared" si="226"/>
        <v>Development Management</v>
      </c>
      <c r="AA352" s="10" t="str">
        <f t="shared" si="227"/>
        <v>Strategy and Commissioning</v>
      </c>
      <c r="AB352" s="10" t="str">
        <f t="shared" si="228"/>
        <v>4sac</v>
      </c>
      <c r="AD352" s="10" t="str">
        <f t="shared" si="229"/>
        <v>sac02</v>
      </c>
      <c r="AE352" s="10" t="str">
        <f t="shared" si="218"/>
        <v>Environmental Services / Environmental Services Admin</v>
      </c>
      <c r="AG352" s="10" t="str">
        <f t="shared" si="230"/>
        <v>29115/1444</v>
      </c>
      <c r="AI352" s="10" t="str">
        <f t="shared" si="219"/>
        <v>14suse</v>
      </c>
      <c r="AJ352" s="15" t="str">
        <f>"LYRECO BUDGET BLUE A4 LEVER ARCH FILE 75MM"</f>
        <v>LYRECO BUDGET BLUE A4 LEVER ARCH FILE 75MM</v>
      </c>
      <c r="AK352" s="10" t="str">
        <f t="shared" si="220"/>
        <v>Revenue</v>
      </c>
      <c r="AL352" s="10" t="str">
        <f>""</f>
        <v/>
      </c>
      <c r="AM352" s="10" t="str">
        <f>""</f>
        <v/>
      </c>
      <c r="AN352" s="10" t="str">
        <f>""</f>
        <v/>
      </c>
      <c r="AO352" s="10" t="str">
        <f>""</f>
        <v/>
      </c>
    </row>
    <row r="353" spans="1:41" s="10" customFormat="1" ht="409.6">
      <c r="A353" s="9"/>
      <c r="B353" s="9"/>
      <c r="C353" s="9"/>
      <c r="D353" s="10" t="str">
        <f>"32971"</f>
        <v>32971</v>
      </c>
      <c r="E353" s="11" t="str">
        <f>""</f>
        <v/>
      </c>
      <c r="F353" s="11" t="str">
        <f t="shared" si="231"/>
        <v>372418</v>
      </c>
      <c r="G353" s="11" t="str">
        <f t="shared" si="232"/>
        <v>2017toJAN</v>
      </c>
      <c r="H353" s="11" t="str">
        <f t="shared" si="233"/>
        <v>CRSP06B</v>
      </c>
      <c r="I353" s="11" t="str">
        <f t="shared" si="234"/>
        <v>34</v>
      </c>
      <c r="J353" s="11" t="str">
        <f t="shared" si="235"/>
        <v>Creditor</v>
      </c>
      <c r="K353" s="11" t="str">
        <f t="shared" si="210"/>
        <v>CS000551</v>
      </c>
      <c r="L353" s="10" t="str">
        <f t="shared" si="211"/>
        <v>Lyreco UK Ltd</v>
      </c>
      <c r="M353" s="12" t="str">
        <f t="shared" si="212"/>
        <v>25/01/2017 00:00:00</v>
      </c>
      <c r="N353" s="12">
        <v>42760</v>
      </c>
      <c r="O353" s="10" t="str">
        <f t="shared" si="213"/>
        <v>C008069</v>
      </c>
      <c r="P353" s="13">
        <v>10.1</v>
      </c>
      <c r="Q353" s="11" t="str">
        <f>"10.1000"</f>
        <v>10.1000</v>
      </c>
      <c r="R353" s="10" t="str">
        <f t="shared" si="214"/>
        <v>C0004552</v>
      </c>
      <c r="S353" s="14" t="str">
        <f t="shared" si="215"/>
        <v>2129.8300</v>
      </c>
      <c r="T353" s="10">
        <v>29115</v>
      </c>
      <c r="U353" s="10">
        <v>1444</v>
      </c>
      <c r="V353" s="10" t="str">
        <f t="shared" si="216"/>
        <v>Printing Stationery &amp; Off Supp</v>
      </c>
      <c r="W353" s="10" t="str">
        <f t="shared" si="217"/>
        <v>Supplies and Services</v>
      </c>
      <c r="X353" s="10" t="str">
        <f>VLOOKUP(U353,'[1]Account code lookup'!A:B,2,0)</f>
        <v>Stationery</v>
      </c>
      <c r="Z353" s="10" t="str">
        <f t="shared" si="226"/>
        <v>Development Management</v>
      </c>
      <c r="AA353" s="10" t="str">
        <f t="shared" si="227"/>
        <v>Strategy and Commissioning</v>
      </c>
      <c r="AB353" s="10" t="str">
        <f t="shared" si="228"/>
        <v>4sac</v>
      </c>
      <c r="AD353" s="10" t="str">
        <f t="shared" si="229"/>
        <v>sac02</v>
      </c>
      <c r="AE353" s="10" t="str">
        <f t="shared" si="218"/>
        <v>Environmental Services / Environmental Services Admin</v>
      </c>
      <c r="AG353" s="10" t="str">
        <f t="shared" si="230"/>
        <v>29115/1444</v>
      </c>
      <c r="AI353" s="10" t="str">
        <f t="shared" si="219"/>
        <v>14suse</v>
      </c>
      <c r="AJ353" s="15" t="str">
        <f>"LYRECO BUDGET CARDBOARD DIVIDERS A-Z A4 ASSORTED"</f>
        <v>LYRECO BUDGET CARDBOARD DIVIDERS A-Z A4 ASSORTED</v>
      </c>
      <c r="AK353" s="10" t="str">
        <f t="shared" si="220"/>
        <v>Revenue</v>
      </c>
      <c r="AL353" s="10" t="str">
        <f>""</f>
        <v/>
      </c>
      <c r="AM353" s="10" t="str">
        <f>""</f>
        <v/>
      </c>
      <c r="AN353" s="10" t="str">
        <f>""</f>
        <v/>
      </c>
      <c r="AO353" s="10" t="str">
        <f>""</f>
        <v/>
      </c>
    </row>
    <row r="354" spans="1:41" s="10" customFormat="1" ht="409.6">
      <c r="A354" s="9"/>
      <c r="B354" s="9"/>
      <c r="C354" s="9"/>
      <c r="D354" s="10" t="str">
        <f>"32972"</f>
        <v>32972</v>
      </c>
      <c r="E354" s="11" t="str">
        <f>""</f>
        <v/>
      </c>
      <c r="F354" s="11" t="str">
        <f t="shared" si="231"/>
        <v>372418</v>
      </c>
      <c r="G354" s="11" t="str">
        <f t="shared" si="232"/>
        <v>2017toJAN</v>
      </c>
      <c r="H354" s="11" t="str">
        <f t="shared" si="233"/>
        <v>CRSP06B</v>
      </c>
      <c r="I354" s="11" t="str">
        <f t="shared" si="234"/>
        <v>34</v>
      </c>
      <c r="J354" s="11" t="str">
        <f t="shared" si="235"/>
        <v>Creditor</v>
      </c>
      <c r="K354" s="11" t="str">
        <f t="shared" si="210"/>
        <v>CS000551</v>
      </c>
      <c r="L354" s="10" t="str">
        <f t="shared" si="211"/>
        <v>Lyreco UK Ltd</v>
      </c>
      <c r="M354" s="12" t="str">
        <f t="shared" si="212"/>
        <v>25/01/2017 00:00:00</v>
      </c>
      <c r="N354" s="12">
        <v>42760</v>
      </c>
      <c r="O354" s="10" t="str">
        <f t="shared" si="213"/>
        <v>C008069</v>
      </c>
      <c r="P354" s="13">
        <v>2</v>
      </c>
      <c r="Q354" s="11" t="str">
        <f>"2.0000"</f>
        <v>2.0000</v>
      </c>
      <c r="R354" s="10" t="str">
        <f t="shared" si="214"/>
        <v>C0004552</v>
      </c>
      <c r="S354" s="14" t="str">
        <f t="shared" si="215"/>
        <v>2129.8300</v>
      </c>
      <c r="T354" s="10">
        <v>29115</v>
      </c>
      <c r="U354" s="10">
        <v>1444</v>
      </c>
      <c r="V354" s="10" t="str">
        <f t="shared" si="216"/>
        <v>Printing Stationery &amp; Off Supp</v>
      </c>
      <c r="W354" s="10" t="str">
        <f t="shared" si="217"/>
        <v>Supplies and Services</v>
      </c>
      <c r="X354" s="10" t="str">
        <f>VLOOKUP(U354,'[1]Account code lookup'!A:B,2,0)</f>
        <v>Stationery</v>
      </c>
      <c r="Z354" s="10" t="str">
        <f t="shared" si="226"/>
        <v>Development Management</v>
      </c>
      <c r="AA354" s="10" t="str">
        <f t="shared" si="227"/>
        <v>Strategy and Commissioning</v>
      </c>
      <c r="AB354" s="10" t="str">
        <f t="shared" si="228"/>
        <v>4sac</v>
      </c>
      <c r="AD354" s="10" t="str">
        <f t="shared" si="229"/>
        <v>sac02</v>
      </c>
      <c r="AE354" s="10" t="str">
        <f t="shared" si="218"/>
        <v>Environmental Services / Environmental Services Admin</v>
      </c>
      <c r="AG354" s="10" t="str">
        <f t="shared" si="230"/>
        <v>29115/1444</v>
      </c>
      <c r="AI354" s="10" t="str">
        <f t="shared" si="219"/>
        <v>14suse</v>
      </c>
      <c r="AJ354" s="15" t="str">
        <f>"LYRECO BUDGET NOTEBOOK A4 60 GSM RULED SPIRAL - PACK OF 10"</f>
        <v>LYRECO BUDGET NOTEBOOK A4 60 GSM RULED SPIRAL - PACK OF 10</v>
      </c>
      <c r="AK354" s="10" t="str">
        <f t="shared" si="220"/>
        <v>Revenue</v>
      </c>
      <c r="AL354" s="10" t="str">
        <f>""</f>
        <v/>
      </c>
      <c r="AM354" s="10" t="str">
        <f>""</f>
        <v/>
      </c>
      <c r="AN354" s="10" t="str">
        <f>""</f>
        <v/>
      </c>
      <c r="AO354" s="10" t="str">
        <f>""</f>
        <v/>
      </c>
    </row>
    <row r="355" spans="1:41" s="10" customFormat="1" ht="409.6">
      <c r="A355" s="9"/>
      <c r="B355" s="9"/>
      <c r="C355" s="9"/>
      <c r="D355" s="10" t="str">
        <f>"32973"</f>
        <v>32973</v>
      </c>
      <c r="E355" s="11" t="str">
        <f>""</f>
        <v/>
      </c>
      <c r="F355" s="11" t="str">
        <f t="shared" si="231"/>
        <v>372418</v>
      </c>
      <c r="G355" s="11" t="str">
        <f t="shared" si="232"/>
        <v>2017toJAN</v>
      </c>
      <c r="H355" s="11" t="str">
        <f t="shared" si="233"/>
        <v>CRSP06B</v>
      </c>
      <c r="I355" s="11" t="str">
        <f t="shared" si="234"/>
        <v>34</v>
      </c>
      <c r="J355" s="11" t="str">
        <f t="shared" si="235"/>
        <v>Creditor</v>
      </c>
      <c r="K355" s="11" t="str">
        <f t="shared" si="210"/>
        <v>CS000551</v>
      </c>
      <c r="L355" s="10" t="str">
        <f t="shared" si="211"/>
        <v>Lyreco UK Ltd</v>
      </c>
      <c r="M355" s="12" t="str">
        <f t="shared" si="212"/>
        <v>25/01/2017 00:00:00</v>
      </c>
      <c r="N355" s="12">
        <v>42760</v>
      </c>
      <c r="O355" s="10" t="str">
        <f t="shared" si="213"/>
        <v>C008069</v>
      </c>
      <c r="P355" s="13">
        <v>4.76</v>
      </c>
      <c r="Q355" s="11" t="str">
        <f>"4.7600"</f>
        <v>4.7600</v>
      </c>
      <c r="R355" s="10" t="str">
        <f t="shared" si="214"/>
        <v>C0004552</v>
      </c>
      <c r="S355" s="14" t="str">
        <f t="shared" si="215"/>
        <v>2129.8300</v>
      </c>
      <c r="T355" s="10">
        <v>29115</v>
      </c>
      <c r="U355" s="10">
        <v>1444</v>
      </c>
      <c r="V355" s="10" t="str">
        <f t="shared" si="216"/>
        <v>Printing Stationery &amp; Off Supp</v>
      </c>
      <c r="W355" s="10" t="str">
        <f t="shared" si="217"/>
        <v>Supplies and Services</v>
      </c>
      <c r="X355" s="10" t="str">
        <f>VLOOKUP(U355,'[1]Account code lookup'!A:B,2,0)</f>
        <v>Stationery</v>
      </c>
      <c r="Z355" s="10" t="str">
        <f t="shared" si="226"/>
        <v>Development Management</v>
      </c>
      <c r="AA355" s="10" t="str">
        <f t="shared" si="227"/>
        <v>Strategy and Commissioning</v>
      </c>
      <c r="AB355" s="10" t="str">
        <f t="shared" si="228"/>
        <v>4sac</v>
      </c>
      <c r="AD355" s="10" t="str">
        <f t="shared" si="229"/>
        <v>sac02</v>
      </c>
      <c r="AE355" s="10" t="str">
        <f t="shared" si="218"/>
        <v>Environmental Services / Environmental Services Admin</v>
      </c>
      <c r="AG355" s="10" t="str">
        <f t="shared" si="230"/>
        <v>29115/1444</v>
      </c>
      <c r="AI355" s="10" t="str">
        <f t="shared" si="219"/>
        <v>14suse</v>
      </c>
      <c r="AJ355" s="15" t="str">
        <f>"LYRECO BUDGET SCISSORS 21CM - STAINLESS STEEL BLADES"</f>
        <v>LYRECO BUDGET SCISSORS 21CM - STAINLESS STEEL BLADES</v>
      </c>
      <c r="AK355" s="10" t="str">
        <f t="shared" si="220"/>
        <v>Revenue</v>
      </c>
      <c r="AL355" s="10" t="str">
        <f>""</f>
        <v/>
      </c>
      <c r="AM355" s="10" t="str">
        <f>""</f>
        <v/>
      </c>
      <c r="AN355" s="10" t="str">
        <f>""</f>
        <v/>
      </c>
      <c r="AO355" s="10" t="str">
        <f>""</f>
        <v/>
      </c>
    </row>
    <row r="356" spans="1:41" s="10" customFormat="1" ht="409.6">
      <c r="A356" s="9"/>
      <c r="B356" s="9"/>
      <c r="C356" s="9"/>
      <c r="D356" s="10" t="str">
        <f>"33131"</f>
        <v>33131</v>
      </c>
      <c r="E356" s="11" t="str">
        <f>""</f>
        <v/>
      </c>
      <c r="F356" s="11" t="str">
        <f t="shared" si="231"/>
        <v>372418</v>
      </c>
      <c r="G356" s="11" t="str">
        <f t="shared" si="232"/>
        <v>2017toJAN</v>
      </c>
      <c r="H356" s="11" t="str">
        <f t="shared" si="233"/>
        <v>CRSP06B</v>
      </c>
      <c r="I356" s="11" t="str">
        <f t="shared" si="234"/>
        <v>34</v>
      </c>
      <c r="J356" s="11" t="str">
        <f t="shared" si="235"/>
        <v>Creditor</v>
      </c>
      <c r="K356" s="11" t="str">
        <f t="shared" si="210"/>
        <v>CS000551</v>
      </c>
      <c r="L356" s="10" t="str">
        <f t="shared" si="211"/>
        <v>Lyreco UK Ltd</v>
      </c>
      <c r="M356" s="12" t="str">
        <f t="shared" si="212"/>
        <v>25/01/2017 00:00:00</v>
      </c>
      <c r="N356" s="12">
        <v>42760</v>
      </c>
      <c r="O356" s="10" t="str">
        <f t="shared" si="213"/>
        <v>C008069</v>
      </c>
      <c r="P356" s="13">
        <v>1</v>
      </c>
      <c r="Q356" s="11" t="str">
        <f>"1.0000"</f>
        <v>1.0000</v>
      </c>
      <c r="R356" s="10" t="str">
        <f t="shared" si="214"/>
        <v>C0004552</v>
      </c>
      <c r="S356" s="14" t="str">
        <f t="shared" si="215"/>
        <v>2129.8300</v>
      </c>
      <c r="T356" s="10">
        <v>29115</v>
      </c>
      <c r="U356" s="10">
        <v>1444</v>
      </c>
      <c r="V356" s="10" t="str">
        <f t="shared" si="216"/>
        <v>Printing Stationery &amp; Off Supp</v>
      </c>
      <c r="W356" s="10" t="str">
        <f t="shared" si="217"/>
        <v>Supplies and Services</v>
      </c>
      <c r="X356" s="10" t="str">
        <f>VLOOKUP(U356,'[1]Account code lookup'!A:B,2,0)</f>
        <v>Stationery</v>
      </c>
      <c r="Z356" s="10" t="str">
        <f t="shared" si="226"/>
        <v>Development Management</v>
      </c>
      <c r="AA356" s="10" t="str">
        <f t="shared" si="227"/>
        <v>Strategy and Commissioning</v>
      </c>
      <c r="AB356" s="10" t="str">
        <f t="shared" si="228"/>
        <v>4sac</v>
      </c>
      <c r="AD356" s="10" t="str">
        <f t="shared" si="229"/>
        <v>sac02</v>
      </c>
      <c r="AE356" s="10" t="str">
        <f t="shared" si="218"/>
        <v>Environmental Services / Environmental Services Admin</v>
      </c>
      <c r="AG356" s="10" t="str">
        <f t="shared" si="230"/>
        <v>29115/1444</v>
      </c>
      <c r="AI356" s="10" t="str">
        <f t="shared" si="219"/>
        <v>14suse</v>
      </c>
      <c r="AJ356" s="15" t="str">
        <f>"LYRECO BUDGET YELLOW HIGHLIGHTERS - PACK OF 10"</f>
        <v>LYRECO BUDGET YELLOW HIGHLIGHTERS - PACK OF 10</v>
      </c>
      <c r="AK356" s="10" t="str">
        <f t="shared" si="220"/>
        <v>Revenue</v>
      </c>
      <c r="AL356" s="10" t="str">
        <f>""</f>
        <v/>
      </c>
      <c r="AM356" s="10" t="str">
        <f>""</f>
        <v/>
      </c>
      <c r="AN356" s="10" t="str">
        <f>""</f>
        <v/>
      </c>
      <c r="AO356" s="10" t="str">
        <f>""</f>
        <v/>
      </c>
    </row>
    <row r="357" spans="1:41" s="10" customFormat="1" ht="409.6">
      <c r="A357" s="9"/>
      <c r="B357" s="9"/>
      <c r="C357" s="9"/>
      <c r="D357" s="10" t="str">
        <f>"33317"</f>
        <v>33317</v>
      </c>
      <c r="E357" s="11" t="str">
        <f>""</f>
        <v/>
      </c>
      <c r="F357" s="11" t="str">
        <f t="shared" si="231"/>
        <v>372418</v>
      </c>
      <c r="G357" s="11" t="str">
        <f t="shared" si="232"/>
        <v>2017toJAN</v>
      </c>
      <c r="H357" s="11" t="str">
        <f t="shared" si="233"/>
        <v>CRSP06B</v>
      </c>
      <c r="I357" s="11" t="str">
        <f t="shared" si="234"/>
        <v>34</v>
      </c>
      <c r="J357" s="11" t="str">
        <f t="shared" si="235"/>
        <v>Creditor</v>
      </c>
      <c r="K357" s="11" t="str">
        <f t="shared" si="210"/>
        <v>CS000551</v>
      </c>
      <c r="L357" s="10" t="str">
        <f t="shared" si="211"/>
        <v>Lyreco UK Ltd</v>
      </c>
      <c r="M357" s="12" t="str">
        <f t="shared" si="212"/>
        <v>25/01/2017 00:00:00</v>
      </c>
      <c r="N357" s="12">
        <v>42760</v>
      </c>
      <c r="O357" s="10" t="str">
        <f t="shared" si="213"/>
        <v>C008069</v>
      </c>
      <c r="P357" s="13">
        <v>3.22</v>
      </c>
      <c r="Q357" s="11" t="str">
        <f>"3.2200"</f>
        <v>3.2200</v>
      </c>
      <c r="R357" s="10" t="str">
        <f t="shared" si="214"/>
        <v>C0004552</v>
      </c>
      <c r="S357" s="14" t="str">
        <f t="shared" si="215"/>
        <v>2129.8300</v>
      </c>
      <c r="T357" s="10">
        <v>29115</v>
      </c>
      <c r="U357" s="10">
        <v>1444</v>
      </c>
      <c r="V357" s="10" t="str">
        <f t="shared" si="216"/>
        <v>Printing Stationery &amp; Off Supp</v>
      </c>
      <c r="W357" s="10" t="str">
        <f t="shared" si="217"/>
        <v>Supplies and Services</v>
      </c>
      <c r="X357" s="10" t="str">
        <f>VLOOKUP(U357,'[1]Account code lookup'!A:B,2,0)</f>
        <v>Stationery</v>
      </c>
      <c r="Z357" s="10" t="str">
        <f t="shared" si="226"/>
        <v>Development Management</v>
      </c>
      <c r="AA357" s="10" t="str">
        <f t="shared" si="227"/>
        <v>Strategy and Commissioning</v>
      </c>
      <c r="AB357" s="10" t="str">
        <f t="shared" si="228"/>
        <v>4sac</v>
      </c>
      <c r="AD357" s="10" t="str">
        <f t="shared" si="229"/>
        <v>sac02</v>
      </c>
      <c r="AE357" s="10" t="str">
        <f t="shared" si="218"/>
        <v>Environmental Services / Environmental Services Admin</v>
      </c>
      <c r="AG357" s="10" t="str">
        <f t="shared" si="230"/>
        <v>29115/1444</v>
      </c>
      <c r="AI357" s="10" t="str">
        <f t="shared" si="219"/>
        <v>14suse</v>
      </c>
      <c r="AJ357" s="15" t="str">
        <f>"LYRECO HEAVY DUTY STICKY TAPE DISPENSER FOR 19MM X 33/66M TAPES (NOT INCLUDED)"</f>
        <v>LYRECO HEAVY DUTY STICKY TAPE DISPENSER FOR 19MM X 33/66M TAPES (NOT INCLUDED)</v>
      </c>
      <c r="AK357" s="10" t="str">
        <f t="shared" si="220"/>
        <v>Revenue</v>
      </c>
      <c r="AL357" s="10" t="str">
        <f>""</f>
        <v/>
      </c>
      <c r="AM357" s="10" t="str">
        <f>""</f>
        <v/>
      </c>
      <c r="AN357" s="10" t="str">
        <f>""</f>
        <v/>
      </c>
      <c r="AO357" s="10" t="str">
        <f>""</f>
        <v/>
      </c>
    </row>
    <row r="358" spans="1:41" s="10" customFormat="1" ht="409.6">
      <c r="A358" s="9"/>
      <c r="B358" s="9"/>
      <c r="C358" s="9"/>
      <c r="D358" s="10" t="str">
        <f>"33318"</f>
        <v>33318</v>
      </c>
      <c r="E358" s="11" t="str">
        <f>""</f>
        <v/>
      </c>
      <c r="F358" s="11" t="str">
        <f t="shared" si="231"/>
        <v>372418</v>
      </c>
      <c r="G358" s="11" t="str">
        <f t="shared" si="232"/>
        <v>2017toJAN</v>
      </c>
      <c r="H358" s="11" t="str">
        <f t="shared" si="233"/>
        <v>CRSP06B</v>
      </c>
      <c r="I358" s="11" t="str">
        <f t="shared" si="234"/>
        <v>34</v>
      </c>
      <c r="J358" s="11" t="str">
        <f t="shared" si="235"/>
        <v>Creditor</v>
      </c>
      <c r="K358" s="11" t="str">
        <f t="shared" si="210"/>
        <v>CS000551</v>
      </c>
      <c r="L358" s="10" t="str">
        <f t="shared" si="211"/>
        <v>Lyreco UK Ltd</v>
      </c>
      <c r="M358" s="12" t="str">
        <f t="shared" si="212"/>
        <v>25/01/2017 00:00:00</v>
      </c>
      <c r="N358" s="12">
        <v>42760</v>
      </c>
      <c r="O358" s="10" t="str">
        <f t="shared" si="213"/>
        <v>C008069</v>
      </c>
      <c r="P358" s="13">
        <v>45.45</v>
      </c>
      <c r="Q358" s="11" t="str">
        <f>"45.4500"</f>
        <v>45.4500</v>
      </c>
      <c r="R358" s="10" t="str">
        <f t="shared" si="214"/>
        <v>C0004552</v>
      </c>
      <c r="S358" s="14" t="str">
        <f t="shared" si="215"/>
        <v>2129.8300</v>
      </c>
      <c r="T358" s="10">
        <v>29115</v>
      </c>
      <c r="U358" s="10">
        <v>1444</v>
      </c>
      <c r="V358" s="10" t="str">
        <f t="shared" si="216"/>
        <v>Printing Stationery &amp; Off Supp</v>
      </c>
      <c r="W358" s="10" t="str">
        <f t="shared" si="217"/>
        <v>Supplies and Services</v>
      </c>
      <c r="X358" s="10" t="str">
        <f>VLOOKUP(U358,'[1]Account code lookup'!A:B,2,0)</f>
        <v>Stationery</v>
      </c>
      <c r="Z358" s="10" t="str">
        <f t="shared" si="226"/>
        <v>Development Management</v>
      </c>
      <c r="AA358" s="10" t="str">
        <f t="shared" si="227"/>
        <v>Strategy and Commissioning</v>
      </c>
      <c r="AB358" s="10" t="str">
        <f t="shared" si="228"/>
        <v>4sac</v>
      </c>
      <c r="AD358" s="10" t="str">
        <f t="shared" si="229"/>
        <v>sac02</v>
      </c>
      <c r="AE358" s="10" t="str">
        <f t="shared" si="218"/>
        <v>Environmental Services / Environmental Services Admin</v>
      </c>
      <c r="AG358" s="10" t="str">
        <f t="shared" si="230"/>
        <v>29115/1444</v>
      </c>
      <c r="AI358" s="10" t="str">
        <f t="shared" si="219"/>
        <v>14suse</v>
      </c>
      <c r="AJ358" s="15" t="str">
        <f>"LYRECO MANILLA 16 X 12INCH PEEL AND SEAL GUSSET ENVELOPES 140GSM - BOX OF 125"</f>
        <v>LYRECO MANILLA 16 X 12INCH PEEL AND SEAL GUSSET ENVELOPES 140GSM - BOX OF 125</v>
      </c>
      <c r="AK358" s="10" t="str">
        <f t="shared" si="220"/>
        <v>Revenue</v>
      </c>
      <c r="AL358" s="10" t="str">
        <f>""</f>
        <v/>
      </c>
      <c r="AM358" s="10" t="str">
        <f>""</f>
        <v/>
      </c>
      <c r="AN358" s="10" t="str">
        <f>""</f>
        <v/>
      </c>
      <c r="AO358" s="10" t="str">
        <f>""</f>
        <v/>
      </c>
    </row>
    <row r="359" spans="1:41" s="10" customFormat="1" ht="409.6">
      <c r="A359" s="9"/>
      <c r="B359" s="9"/>
      <c r="C359" s="9"/>
      <c r="D359" s="10" t="str">
        <f>"33319"</f>
        <v>33319</v>
      </c>
      <c r="E359" s="11" t="str">
        <f>""</f>
        <v/>
      </c>
      <c r="F359" s="11" t="str">
        <f t="shared" si="231"/>
        <v>372418</v>
      </c>
      <c r="G359" s="11" t="str">
        <f t="shared" si="232"/>
        <v>2017toJAN</v>
      </c>
      <c r="H359" s="11" t="str">
        <f t="shared" si="233"/>
        <v>CRSP06B</v>
      </c>
      <c r="I359" s="11" t="str">
        <f t="shared" si="234"/>
        <v>34</v>
      </c>
      <c r="J359" s="11" t="str">
        <f t="shared" si="235"/>
        <v>Creditor</v>
      </c>
      <c r="K359" s="11" t="str">
        <f t="shared" si="210"/>
        <v>CS000551</v>
      </c>
      <c r="L359" s="10" t="str">
        <f t="shared" si="211"/>
        <v>Lyreco UK Ltd</v>
      </c>
      <c r="M359" s="12" t="str">
        <f t="shared" si="212"/>
        <v>25/01/2017 00:00:00</v>
      </c>
      <c r="N359" s="12">
        <v>42760</v>
      </c>
      <c r="O359" s="10" t="str">
        <f t="shared" si="213"/>
        <v>C008069</v>
      </c>
      <c r="P359" s="13">
        <v>1.8</v>
      </c>
      <c r="Q359" s="11" t="str">
        <f>"1.8000"</f>
        <v>1.8000</v>
      </c>
      <c r="R359" s="10" t="str">
        <f t="shared" si="214"/>
        <v>C0004552</v>
      </c>
      <c r="S359" s="14" t="str">
        <f t="shared" si="215"/>
        <v>2129.8300</v>
      </c>
      <c r="T359" s="10">
        <v>29115</v>
      </c>
      <c r="U359" s="10">
        <v>1444</v>
      </c>
      <c r="V359" s="10" t="str">
        <f t="shared" si="216"/>
        <v>Printing Stationery &amp; Off Supp</v>
      </c>
      <c r="W359" s="10" t="str">
        <f t="shared" si="217"/>
        <v>Supplies and Services</v>
      </c>
      <c r="X359" s="10" t="str">
        <f>VLOOKUP(U359,'[1]Account code lookup'!A:B,2,0)</f>
        <v>Stationery</v>
      </c>
      <c r="Z359" s="10" t="str">
        <f t="shared" si="226"/>
        <v>Development Management</v>
      </c>
      <c r="AA359" s="10" t="str">
        <f t="shared" si="227"/>
        <v>Strategy and Commissioning</v>
      </c>
      <c r="AB359" s="10" t="str">
        <f t="shared" si="228"/>
        <v>4sac</v>
      </c>
      <c r="AD359" s="10" t="str">
        <f t="shared" si="229"/>
        <v>sac02</v>
      </c>
      <c r="AE359" s="10" t="str">
        <f t="shared" si="218"/>
        <v>Environmental Services / Environmental Services Admin</v>
      </c>
      <c r="AG359" s="10" t="str">
        <f t="shared" si="230"/>
        <v>29115/1444</v>
      </c>
      <c r="AI359" s="10" t="str">
        <f t="shared" si="219"/>
        <v>14suse</v>
      </c>
      <c r="AJ359" s="15" t="str">
        <f>"LYRECO NOTEBOOK A4 80 SHEETS 70 GSM RULED DOUBLE WIRE - PACK OF 5"</f>
        <v>LYRECO NOTEBOOK A4 80 SHEETS 70 GSM RULED DOUBLE WIRE - PACK OF 5</v>
      </c>
      <c r="AK359" s="10" t="str">
        <f t="shared" si="220"/>
        <v>Revenue</v>
      </c>
      <c r="AL359" s="10" t="str">
        <f>""</f>
        <v/>
      </c>
      <c r="AM359" s="10" t="str">
        <f>""</f>
        <v/>
      </c>
      <c r="AN359" s="10" t="str">
        <f>""</f>
        <v/>
      </c>
      <c r="AO359" s="10" t="str">
        <f>""</f>
        <v/>
      </c>
    </row>
    <row r="360" spans="1:41" s="10" customFormat="1" ht="409.6">
      <c r="A360" s="9"/>
      <c r="B360" s="9"/>
      <c r="C360" s="9"/>
      <c r="D360" s="10" t="str">
        <f>"33320"</f>
        <v>33320</v>
      </c>
      <c r="E360" s="11" t="str">
        <f>""</f>
        <v/>
      </c>
      <c r="F360" s="11" t="str">
        <f t="shared" si="231"/>
        <v>372418</v>
      </c>
      <c r="G360" s="11" t="str">
        <f t="shared" si="232"/>
        <v>2017toJAN</v>
      </c>
      <c r="H360" s="11" t="str">
        <f t="shared" si="233"/>
        <v>CRSP06B</v>
      </c>
      <c r="I360" s="11" t="str">
        <f t="shared" si="234"/>
        <v>34</v>
      </c>
      <c r="J360" s="11" t="str">
        <f t="shared" si="235"/>
        <v>Creditor</v>
      </c>
      <c r="K360" s="11" t="str">
        <f t="shared" si="210"/>
        <v>CS000551</v>
      </c>
      <c r="L360" s="10" t="str">
        <f t="shared" si="211"/>
        <v>Lyreco UK Ltd</v>
      </c>
      <c r="M360" s="12" t="str">
        <f t="shared" si="212"/>
        <v>25/01/2017 00:00:00</v>
      </c>
      <c r="N360" s="12">
        <v>42760</v>
      </c>
      <c r="O360" s="10" t="str">
        <f t="shared" si="213"/>
        <v>C008069</v>
      </c>
      <c r="P360" s="13">
        <v>1.8</v>
      </c>
      <c r="Q360" s="11" t="str">
        <f>"1.8000"</f>
        <v>1.8000</v>
      </c>
      <c r="R360" s="10" t="str">
        <f t="shared" si="214"/>
        <v>C0004552</v>
      </c>
      <c r="S360" s="14" t="str">
        <f t="shared" si="215"/>
        <v>2129.8300</v>
      </c>
      <c r="T360" s="10">
        <v>29115</v>
      </c>
      <c r="U360" s="10">
        <v>1444</v>
      </c>
      <c r="V360" s="10" t="str">
        <f t="shared" si="216"/>
        <v>Printing Stationery &amp; Off Supp</v>
      </c>
      <c r="W360" s="10" t="str">
        <f t="shared" si="217"/>
        <v>Supplies and Services</v>
      </c>
      <c r="X360" s="10" t="str">
        <f>VLOOKUP(U360,'[1]Account code lookup'!A:B,2,0)</f>
        <v>Stationery</v>
      </c>
      <c r="Z360" s="10" t="str">
        <f t="shared" si="226"/>
        <v>Development Management</v>
      </c>
      <c r="AA360" s="10" t="str">
        <f t="shared" si="227"/>
        <v>Strategy and Commissioning</v>
      </c>
      <c r="AB360" s="10" t="str">
        <f t="shared" si="228"/>
        <v>4sac</v>
      </c>
      <c r="AD360" s="10" t="str">
        <f t="shared" si="229"/>
        <v>sac02</v>
      </c>
      <c r="AE360" s="10" t="str">
        <f t="shared" si="218"/>
        <v>Environmental Services / Environmental Services Admin</v>
      </c>
      <c r="AG360" s="10" t="str">
        <f t="shared" si="230"/>
        <v>29115/1444</v>
      </c>
      <c r="AI360" s="10" t="str">
        <f t="shared" si="219"/>
        <v>14suse</v>
      </c>
      <c r="AJ360" s="15" t="str">
        <f>"LYRECO PENCIL LEAD REFILLS 0.5MM HB - TUBE OF 12"</f>
        <v>LYRECO PENCIL LEAD REFILLS 0.5MM HB - TUBE OF 12</v>
      </c>
      <c r="AK360" s="10" t="str">
        <f t="shared" si="220"/>
        <v>Revenue</v>
      </c>
      <c r="AL360" s="10" t="str">
        <f>""</f>
        <v/>
      </c>
      <c r="AM360" s="10" t="str">
        <f>""</f>
        <v/>
      </c>
      <c r="AN360" s="10" t="str">
        <f>""</f>
        <v/>
      </c>
      <c r="AO360" s="10" t="str">
        <f>""</f>
        <v/>
      </c>
    </row>
    <row r="361" spans="1:41" s="10" customFormat="1" ht="409.6">
      <c r="A361" s="9"/>
      <c r="B361" s="9"/>
      <c r="C361" s="9"/>
      <c r="D361" s="10" t="str">
        <f>"33420"</f>
        <v>33420</v>
      </c>
      <c r="E361" s="11" t="str">
        <f>""</f>
        <v/>
      </c>
      <c r="F361" s="11" t="str">
        <f t="shared" si="231"/>
        <v>372418</v>
      </c>
      <c r="G361" s="11" t="str">
        <f t="shared" si="232"/>
        <v>2017toJAN</v>
      </c>
      <c r="H361" s="11" t="str">
        <f t="shared" si="233"/>
        <v>CRSP06B</v>
      </c>
      <c r="I361" s="11" t="str">
        <f t="shared" si="234"/>
        <v>34</v>
      </c>
      <c r="J361" s="11" t="str">
        <f t="shared" si="235"/>
        <v>Creditor</v>
      </c>
      <c r="K361" s="11" t="str">
        <f t="shared" si="210"/>
        <v>CS000551</v>
      </c>
      <c r="L361" s="10" t="str">
        <f t="shared" si="211"/>
        <v>Lyreco UK Ltd</v>
      </c>
      <c r="M361" s="12" t="str">
        <f t="shared" si="212"/>
        <v>25/01/2017 00:00:00</v>
      </c>
      <c r="N361" s="12">
        <v>42760</v>
      </c>
      <c r="O361" s="10" t="str">
        <f t="shared" si="213"/>
        <v>C008069</v>
      </c>
      <c r="P361" s="13">
        <v>1.44</v>
      </c>
      <c r="Q361" s="11" t="str">
        <f>"1.4400"</f>
        <v>1.4400</v>
      </c>
      <c r="R361" s="10" t="str">
        <f t="shared" si="214"/>
        <v>C0004552</v>
      </c>
      <c r="S361" s="14" t="str">
        <f t="shared" si="215"/>
        <v>2129.8300</v>
      </c>
      <c r="T361" s="10">
        <v>29115</v>
      </c>
      <c r="U361" s="10">
        <v>1444</v>
      </c>
      <c r="V361" s="10" t="str">
        <f t="shared" si="216"/>
        <v>Printing Stationery &amp; Off Supp</v>
      </c>
      <c r="W361" s="10" t="str">
        <f t="shared" si="217"/>
        <v>Supplies and Services</v>
      </c>
      <c r="X361" s="10" t="str">
        <f>VLOOKUP(U361,'[1]Account code lookup'!A:B,2,0)</f>
        <v>Stationery</v>
      </c>
      <c r="Z361" s="10" t="str">
        <f t="shared" si="226"/>
        <v>Development Management</v>
      </c>
      <c r="AA361" s="10" t="str">
        <f t="shared" si="227"/>
        <v>Strategy and Commissioning</v>
      </c>
      <c r="AB361" s="10" t="str">
        <f t="shared" si="228"/>
        <v>4sac</v>
      </c>
      <c r="AD361" s="10" t="str">
        <f t="shared" si="229"/>
        <v>sac02</v>
      </c>
      <c r="AE361" s="10" t="str">
        <f t="shared" si="218"/>
        <v>Environmental Services / Environmental Services Admin</v>
      </c>
      <c r="AG361" s="10" t="str">
        <f t="shared" si="230"/>
        <v>29115/1444</v>
      </c>
      <c r="AI361" s="10" t="str">
        <f t="shared" si="219"/>
        <v>14suse</v>
      </c>
      <c r="AJ361" s="15" t="str">
        <f>"LYRECO PLAIN YELLOW STICKY NOTES 76 X 76MM - PACK OF 12 PADS"</f>
        <v>LYRECO PLAIN YELLOW STICKY NOTES 76 X 76MM - PACK OF 12 PADS</v>
      </c>
      <c r="AK361" s="10" t="str">
        <f t="shared" si="220"/>
        <v>Revenue</v>
      </c>
      <c r="AL361" s="10" t="str">
        <f>""</f>
        <v/>
      </c>
      <c r="AM361" s="10" t="str">
        <f>""</f>
        <v/>
      </c>
      <c r="AN361" s="10" t="str">
        <f>""</f>
        <v/>
      </c>
      <c r="AO361" s="10" t="str">
        <f>""</f>
        <v/>
      </c>
    </row>
    <row r="362" spans="1:41" s="10" customFormat="1" ht="409.6">
      <c r="A362" s="9"/>
      <c r="B362" s="9"/>
      <c r="C362" s="9"/>
      <c r="D362" s="10" t="str">
        <f>"33421"</f>
        <v>33421</v>
      </c>
      <c r="E362" s="11" t="str">
        <f>""</f>
        <v/>
      </c>
      <c r="F362" s="11" t="str">
        <f t="shared" si="231"/>
        <v>372418</v>
      </c>
      <c r="G362" s="11" t="str">
        <f t="shared" si="232"/>
        <v>2017toJAN</v>
      </c>
      <c r="H362" s="11" t="str">
        <f t="shared" si="233"/>
        <v>CRSP06B</v>
      </c>
      <c r="I362" s="11" t="str">
        <f t="shared" si="234"/>
        <v>34</v>
      </c>
      <c r="J362" s="11" t="str">
        <f t="shared" si="235"/>
        <v>Creditor</v>
      </c>
      <c r="K362" s="11" t="str">
        <f t="shared" si="210"/>
        <v>CS000551</v>
      </c>
      <c r="L362" s="10" t="str">
        <f t="shared" si="211"/>
        <v>Lyreco UK Ltd</v>
      </c>
      <c r="M362" s="12" t="str">
        <f t="shared" si="212"/>
        <v>25/01/2017 00:00:00</v>
      </c>
      <c r="N362" s="12">
        <v>42760</v>
      </c>
      <c r="O362" s="10" t="str">
        <f t="shared" si="213"/>
        <v>C008069</v>
      </c>
      <c r="P362" s="13">
        <v>2.74</v>
      </c>
      <c r="Q362" s="11" t="str">
        <f>"2.7400"</f>
        <v>2.7400</v>
      </c>
      <c r="R362" s="10" t="str">
        <f t="shared" si="214"/>
        <v>C0004552</v>
      </c>
      <c r="S362" s="14" t="str">
        <f t="shared" si="215"/>
        <v>2129.8300</v>
      </c>
      <c r="T362" s="10">
        <v>29115</v>
      </c>
      <c r="U362" s="10">
        <v>1444</v>
      </c>
      <c r="V362" s="10" t="str">
        <f t="shared" si="216"/>
        <v>Printing Stationery &amp; Off Supp</v>
      </c>
      <c r="W362" s="10" t="str">
        <f t="shared" si="217"/>
        <v>Supplies and Services</v>
      </c>
      <c r="X362" s="10" t="str">
        <f>VLOOKUP(U362,'[1]Account code lookup'!A:B,2,0)</f>
        <v>Stationery</v>
      </c>
      <c r="Z362" s="10" t="str">
        <f t="shared" si="226"/>
        <v>Development Management</v>
      </c>
      <c r="AA362" s="10" t="str">
        <f t="shared" si="227"/>
        <v>Strategy and Commissioning</v>
      </c>
      <c r="AB362" s="10" t="str">
        <f t="shared" si="228"/>
        <v>4sac</v>
      </c>
      <c r="AD362" s="10" t="str">
        <f t="shared" si="229"/>
        <v>sac02</v>
      </c>
      <c r="AE362" s="10" t="str">
        <f t="shared" si="218"/>
        <v>Environmental Services / Environmental Services Admin</v>
      </c>
      <c r="AG362" s="10" t="str">
        <f t="shared" si="230"/>
        <v>29115/1444</v>
      </c>
      <c r="AI362" s="10" t="str">
        <f t="shared" si="219"/>
        <v>14suse</v>
      </c>
      <c r="AJ362" s="15" t="str">
        <f>"LYRECO TRANSPARENT A4 PVC REPORT BINDING COVERS 200 MICRONS - BOX OF 100"</f>
        <v>LYRECO TRANSPARENT A4 PVC REPORT BINDING COVERS 200 MICRONS - BOX OF 100</v>
      </c>
      <c r="AK362" s="10" t="str">
        <f t="shared" si="220"/>
        <v>Revenue</v>
      </c>
      <c r="AL362" s="10" t="str">
        <f>""</f>
        <v/>
      </c>
      <c r="AM362" s="10" t="str">
        <f>""</f>
        <v/>
      </c>
      <c r="AN362" s="10" t="str">
        <f>""</f>
        <v/>
      </c>
      <c r="AO362" s="10" t="str">
        <f>""</f>
        <v/>
      </c>
    </row>
    <row r="363" spans="1:41" s="10" customFormat="1" ht="409.6">
      <c r="A363" s="9"/>
      <c r="B363" s="9"/>
      <c r="C363" s="9"/>
      <c r="D363" s="10" t="str">
        <f>"33534"</f>
        <v>33534</v>
      </c>
      <c r="E363" s="11" t="str">
        <f>""</f>
        <v/>
      </c>
      <c r="F363" s="11" t="str">
        <f t="shared" si="231"/>
        <v>372418</v>
      </c>
      <c r="G363" s="11" t="str">
        <f t="shared" si="232"/>
        <v>2017toJAN</v>
      </c>
      <c r="H363" s="11" t="str">
        <f t="shared" si="233"/>
        <v>CRSP06B</v>
      </c>
      <c r="I363" s="11" t="str">
        <f t="shared" si="234"/>
        <v>34</v>
      </c>
      <c r="J363" s="11" t="str">
        <f t="shared" si="235"/>
        <v>Creditor</v>
      </c>
      <c r="K363" s="11" t="str">
        <f t="shared" si="210"/>
        <v>CS000551</v>
      </c>
      <c r="L363" s="10" t="str">
        <f t="shared" si="211"/>
        <v>Lyreco UK Ltd</v>
      </c>
      <c r="M363" s="12" t="str">
        <f t="shared" si="212"/>
        <v>25/01/2017 00:00:00</v>
      </c>
      <c r="N363" s="12">
        <v>42760</v>
      </c>
      <c r="O363" s="10" t="str">
        <f t="shared" si="213"/>
        <v>C008069</v>
      </c>
      <c r="P363" s="13">
        <v>1.1000000000000001</v>
      </c>
      <c r="Q363" s="11" t="str">
        <f>"1.1000"</f>
        <v>1.1000</v>
      </c>
      <c r="R363" s="10" t="str">
        <f t="shared" si="214"/>
        <v>C0004552</v>
      </c>
      <c r="S363" s="14" t="str">
        <f t="shared" si="215"/>
        <v>2129.8300</v>
      </c>
      <c r="T363" s="10">
        <v>29115</v>
      </c>
      <c r="U363" s="10">
        <v>1444</v>
      </c>
      <c r="V363" s="10" t="str">
        <f t="shared" si="216"/>
        <v>Printing Stationery &amp; Off Supp</v>
      </c>
      <c r="W363" s="10" t="str">
        <f t="shared" si="217"/>
        <v>Supplies and Services</v>
      </c>
      <c r="X363" s="10" t="str">
        <f>VLOOKUP(U363,'[1]Account code lookup'!A:B,2,0)</f>
        <v>Stationery</v>
      </c>
      <c r="Z363" s="10" t="str">
        <f t="shared" si="226"/>
        <v>Development Management</v>
      </c>
      <c r="AA363" s="10" t="str">
        <f t="shared" si="227"/>
        <v>Strategy and Commissioning</v>
      </c>
      <c r="AB363" s="10" t="str">
        <f t="shared" si="228"/>
        <v>4sac</v>
      </c>
      <c r="AD363" s="10" t="str">
        <f t="shared" si="229"/>
        <v>sac02</v>
      </c>
      <c r="AE363" s="10" t="str">
        <f t="shared" si="218"/>
        <v>Environmental Services / Environmental Services Admin</v>
      </c>
      <c r="AG363" s="10" t="str">
        <f t="shared" si="230"/>
        <v>29115/1444</v>
      </c>
      <c r="AI363" s="10" t="str">
        <f t="shared" si="219"/>
        <v>14suse</v>
      </c>
      <c r="AJ363" s="15" t="str">
        <f>"LYRECO WHITE 8 X 5INCH SHORTHAND NOTEBOOKS (RULED) - PACK OF 10 (10X150 SHEETS)"</f>
        <v>LYRECO WHITE 8 X 5INCH SHORTHAND NOTEBOOKS (RULED) - PACK OF 10 (10X150 SHEETS)</v>
      </c>
      <c r="AK363" s="10" t="str">
        <f t="shared" si="220"/>
        <v>Revenue</v>
      </c>
      <c r="AL363" s="10" t="str">
        <f>""</f>
        <v/>
      </c>
      <c r="AM363" s="10" t="str">
        <f>""</f>
        <v/>
      </c>
      <c r="AN363" s="10" t="str">
        <f>""</f>
        <v/>
      </c>
      <c r="AO363" s="10" t="str">
        <f>""</f>
        <v/>
      </c>
    </row>
    <row r="364" spans="1:41" s="10" customFormat="1" ht="409.6">
      <c r="A364" s="9"/>
      <c r="B364" s="9"/>
      <c r="C364" s="9"/>
      <c r="D364" s="10" t="str">
        <f>"33642"</f>
        <v>33642</v>
      </c>
      <c r="E364" s="11" t="str">
        <f>""</f>
        <v/>
      </c>
      <c r="F364" s="11" t="str">
        <f t="shared" si="231"/>
        <v>372418</v>
      </c>
      <c r="G364" s="11" t="str">
        <f t="shared" si="232"/>
        <v>2017toJAN</v>
      </c>
      <c r="H364" s="11" t="str">
        <f t="shared" si="233"/>
        <v>CRSP06B</v>
      </c>
      <c r="I364" s="11" t="str">
        <f t="shared" si="234"/>
        <v>34</v>
      </c>
      <c r="J364" s="11" t="str">
        <f t="shared" si="235"/>
        <v>Creditor</v>
      </c>
      <c r="K364" s="11" t="str">
        <f t="shared" si="210"/>
        <v>CS000551</v>
      </c>
      <c r="L364" s="10" t="str">
        <f t="shared" si="211"/>
        <v>Lyreco UK Ltd</v>
      </c>
      <c r="M364" s="12" t="str">
        <f t="shared" si="212"/>
        <v>25/01/2017 00:00:00</v>
      </c>
      <c r="N364" s="12">
        <v>42760</v>
      </c>
      <c r="O364" s="10" t="str">
        <f t="shared" si="213"/>
        <v>C008069</v>
      </c>
      <c r="P364" s="13">
        <v>3.99</v>
      </c>
      <c r="Q364" s="11" t="str">
        <f>"3.9900"</f>
        <v>3.9900</v>
      </c>
      <c r="R364" s="10" t="str">
        <f t="shared" si="214"/>
        <v>C0004552</v>
      </c>
      <c r="S364" s="14" t="str">
        <f t="shared" si="215"/>
        <v>2129.8300</v>
      </c>
      <c r="T364" s="10">
        <v>29115</v>
      </c>
      <c r="U364" s="10">
        <v>1444</v>
      </c>
      <c r="V364" s="10" t="str">
        <f t="shared" si="216"/>
        <v>Printing Stationery &amp; Off Supp</v>
      </c>
      <c r="W364" s="10" t="str">
        <f t="shared" si="217"/>
        <v>Supplies and Services</v>
      </c>
      <c r="X364" s="10" t="str">
        <f>VLOOKUP(U364,'[1]Account code lookup'!A:B,2,0)</f>
        <v>Stationery</v>
      </c>
      <c r="Z364" s="10" t="str">
        <f t="shared" si="226"/>
        <v>Development Management</v>
      </c>
      <c r="AA364" s="10" t="str">
        <f t="shared" si="227"/>
        <v>Strategy and Commissioning</v>
      </c>
      <c r="AB364" s="10" t="str">
        <f t="shared" si="228"/>
        <v>4sac</v>
      </c>
      <c r="AD364" s="10" t="str">
        <f t="shared" si="229"/>
        <v>sac02</v>
      </c>
      <c r="AE364" s="10" t="str">
        <f t="shared" si="218"/>
        <v>Environmental Services / Environmental Services Admin</v>
      </c>
      <c r="AG364" s="10" t="str">
        <f t="shared" si="230"/>
        <v>29115/1444</v>
      </c>
      <c r="AI364" s="10" t="str">
        <f t="shared" si="219"/>
        <v>14suse</v>
      </c>
      <c r="AJ364" s="15" t="str">
        <f>"LYRECO WHITE C5 SELF SEAL WINDOW ENVELOPES 90GSM - BOX OF 500"</f>
        <v>LYRECO WHITE C5 SELF SEAL WINDOW ENVELOPES 90GSM - BOX OF 500</v>
      </c>
      <c r="AK364" s="10" t="str">
        <f t="shared" si="220"/>
        <v>Revenue</v>
      </c>
      <c r="AL364" s="10" t="str">
        <f>""</f>
        <v/>
      </c>
      <c r="AM364" s="10" t="str">
        <f>""</f>
        <v/>
      </c>
      <c r="AN364" s="10" t="str">
        <f>""</f>
        <v/>
      </c>
      <c r="AO364" s="10" t="str">
        <f>""</f>
        <v/>
      </c>
    </row>
    <row r="365" spans="1:41" s="10" customFormat="1" ht="409.6">
      <c r="A365" s="9"/>
      <c r="B365" s="9"/>
      <c r="C365" s="9"/>
      <c r="D365" s="10" t="str">
        <f>"33643"</f>
        <v>33643</v>
      </c>
      <c r="E365" s="11" t="str">
        <f>""</f>
        <v/>
      </c>
      <c r="F365" s="11" t="str">
        <f t="shared" si="231"/>
        <v>372418</v>
      </c>
      <c r="G365" s="11" t="str">
        <f t="shared" si="232"/>
        <v>2017toJAN</v>
      </c>
      <c r="H365" s="11" t="str">
        <f t="shared" si="233"/>
        <v>CRSP06B</v>
      </c>
      <c r="I365" s="11" t="str">
        <f t="shared" si="234"/>
        <v>34</v>
      </c>
      <c r="J365" s="11" t="str">
        <f t="shared" si="235"/>
        <v>Creditor</v>
      </c>
      <c r="K365" s="11" t="str">
        <f t="shared" si="210"/>
        <v>CS000551</v>
      </c>
      <c r="L365" s="10" t="str">
        <f t="shared" si="211"/>
        <v>Lyreco UK Ltd</v>
      </c>
      <c r="M365" s="12" t="str">
        <f t="shared" si="212"/>
        <v>25/01/2017 00:00:00</v>
      </c>
      <c r="N365" s="12">
        <v>42760</v>
      </c>
      <c r="O365" s="10" t="str">
        <f t="shared" si="213"/>
        <v>C008069</v>
      </c>
      <c r="P365" s="13">
        <v>10.49</v>
      </c>
      <c r="Q365" s="11" t="str">
        <f>"10.4900"</f>
        <v>10.4900</v>
      </c>
      <c r="R365" s="10" t="str">
        <f t="shared" si="214"/>
        <v>C0004552</v>
      </c>
      <c r="S365" s="14" t="str">
        <f t="shared" si="215"/>
        <v>2129.8300</v>
      </c>
      <c r="T365" s="10">
        <v>29115</v>
      </c>
      <c r="U365" s="10">
        <v>1444</v>
      </c>
      <c r="V365" s="10" t="str">
        <f t="shared" si="216"/>
        <v>Printing Stationery &amp; Off Supp</v>
      </c>
      <c r="W365" s="10" t="str">
        <f t="shared" si="217"/>
        <v>Supplies and Services</v>
      </c>
      <c r="X365" s="10" t="str">
        <f>VLOOKUP(U365,'[1]Account code lookup'!A:B,2,0)</f>
        <v>Stationery</v>
      </c>
      <c r="Z365" s="10" t="str">
        <f t="shared" si="226"/>
        <v>Development Management</v>
      </c>
      <c r="AA365" s="10" t="str">
        <f t="shared" si="227"/>
        <v>Strategy and Commissioning</v>
      </c>
      <c r="AB365" s="10" t="str">
        <f t="shared" si="228"/>
        <v>4sac</v>
      </c>
      <c r="AD365" s="10" t="str">
        <f t="shared" si="229"/>
        <v>sac02</v>
      </c>
      <c r="AE365" s="10" t="str">
        <f t="shared" si="218"/>
        <v>Environmental Services / Environmental Services Admin</v>
      </c>
      <c r="AG365" s="10" t="str">
        <f t="shared" si="230"/>
        <v>29115/1444</v>
      </c>
      <c r="AI365" s="10" t="str">
        <f t="shared" si="219"/>
        <v>14suse</v>
      </c>
      <c r="AJ365" s="15" t="str">
        <f>"PRITT GLUE STICK MULTI-PACK LARGE 43G - PACK OF 5"</f>
        <v>PRITT GLUE STICK MULTI-PACK LARGE 43G - PACK OF 5</v>
      </c>
      <c r="AK365" s="10" t="str">
        <f t="shared" si="220"/>
        <v>Revenue</v>
      </c>
      <c r="AL365" s="10" t="str">
        <f>""</f>
        <v/>
      </c>
      <c r="AM365" s="10" t="str">
        <f>""</f>
        <v/>
      </c>
      <c r="AN365" s="10" t="str">
        <f>""</f>
        <v/>
      </c>
      <c r="AO365" s="10" t="str">
        <f>""</f>
        <v/>
      </c>
    </row>
    <row r="366" spans="1:41" s="10" customFormat="1" ht="409.6">
      <c r="A366" s="9"/>
      <c r="B366" s="9"/>
      <c r="C366" s="9"/>
      <c r="D366" s="10" t="str">
        <f>"33974"</f>
        <v>33974</v>
      </c>
      <c r="E366" s="11" t="str">
        <f>""</f>
        <v/>
      </c>
      <c r="F366" s="11" t="str">
        <f t="shared" si="231"/>
        <v>372418</v>
      </c>
      <c r="G366" s="11" t="str">
        <f t="shared" si="232"/>
        <v>2017toJAN</v>
      </c>
      <c r="H366" s="11" t="str">
        <f t="shared" si="233"/>
        <v>CRSP06B</v>
      </c>
      <c r="I366" s="11" t="str">
        <f t="shared" si="234"/>
        <v>34</v>
      </c>
      <c r="J366" s="11" t="str">
        <f t="shared" si="235"/>
        <v>Creditor</v>
      </c>
      <c r="K366" s="11" t="str">
        <f t="shared" si="210"/>
        <v>CS000551</v>
      </c>
      <c r="L366" s="10" t="str">
        <f t="shared" si="211"/>
        <v>Lyreco UK Ltd</v>
      </c>
      <c r="M366" s="12" t="str">
        <f t="shared" si="212"/>
        <v>25/01/2017 00:00:00</v>
      </c>
      <c r="N366" s="12">
        <v>42760</v>
      </c>
      <c r="O366" s="10" t="str">
        <f t="shared" si="213"/>
        <v>C008069</v>
      </c>
      <c r="P366" s="13">
        <v>32.28</v>
      </c>
      <c r="Q366" s="11" t="str">
        <f>"32.2800"</f>
        <v>32.2800</v>
      </c>
      <c r="R366" s="10" t="str">
        <f t="shared" si="214"/>
        <v>C0004552</v>
      </c>
      <c r="S366" s="14" t="str">
        <f t="shared" si="215"/>
        <v>2129.8300</v>
      </c>
      <c r="T366" s="10">
        <v>29115</v>
      </c>
      <c r="U366" s="10">
        <v>1444</v>
      </c>
      <c r="V366" s="10" t="str">
        <f t="shared" si="216"/>
        <v>Printing Stationery &amp; Off Supp</v>
      </c>
      <c r="W366" s="10" t="str">
        <f t="shared" si="217"/>
        <v>Supplies and Services</v>
      </c>
      <c r="X366" s="10" t="str">
        <f>VLOOKUP(U366,'[1]Account code lookup'!A:B,2,0)</f>
        <v>Stationery</v>
      </c>
      <c r="Z366" s="10" t="str">
        <f t="shared" si="226"/>
        <v>Development Management</v>
      </c>
      <c r="AA366" s="10" t="str">
        <f t="shared" si="227"/>
        <v>Strategy and Commissioning</v>
      </c>
      <c r="AB366" s="10" t="str">
        <f t="shared" si="228"/>
        <v>4sac</v>
      </c>
      <c r="AD366" s="10" t="str">
        <f t="shared" si="229"/>
        <v>sac02</v>
      </c>
      <c r="AE366" s="10" t="str">
        <f t="shared" si="218"/>
        <v>Environmental Services / Environmental Services Admin</v>
      </c>
      <c r="AG366" s="10" t="str">
        <f t="shared" si="230"/>
        <v>29115/1444</v>
      </c>
      <c r="AI366" s="10" t="str">
        <f t="shared" si="219"/>
        <v>14suse</v>
      </c>
      <c r="AJ366" s="15" t="str">
        <f>"SELLOTAPE GOLDEN TAPE 24MMX66M CLEAR - PACK OF 12"</f>
        <v>SELLOTAPE GOLDEN TAPE 24MMX66M CLEAR - PACK OF 12</v>
      </c>
      <c r="AK366" s="10" t="str">
        <f t="shared" si="220"/>
        <v>Revenue</v>
      </c>
      <c r="AL366" s="10" t="str">
        <f>""</f>
        <v/>
      </c>
      <c r="AM366" s="10" t="str">
        <f>""</f>
        <v/>
      </c>
      <c r="AN366" s="10" t="str">
        <f>""</f>
        <v/>
      </c>
      <c r="AO366" s="10" t="str">
        <f>""</f>
        <v/>
      </c>
    </row>
    <row r="367" spans="1:41" s="10" customFormat="1" ht="409.6">
      <c r="A367" s="9"/>
      <c r="B367" s="9"/>
      <c r="C367" s="9"/>
      <c r="D367" s="10" t="str">
        <f>"33975"</f>
        <v>33975</v>
      </c>
      <c r="E367" s="11" t="str">
        <f>""</f>
        <v/>
      </c>
      <c r="F367" s="11" t="str">
        <f t="shared" si="231"/>
        <v>372418</v>
      </c>
      <c r="G367" s="11" t="str">
        <f t="shared" si="232"/>
        <v>2017toJAN</v>
      </c>
      <c r="H367" s="11" t="str">
        <f t="shared" si="233"/>
        <v>CRSP06B</v>
      </c>
      <c r="I367" s="11" t="str">
        <f t="shared" si="234"/>
        <v>34</v>
      </c>
      <c r="J367" s="11" t="str">
        <f t="shared" si="235"/>
        <v>Creditor</v>
      </c>
      <c r="K367" s="11" t="str">
        <f t="shared" si="210"/>
        <v>CS000551</v>
      </c>
      <c r="L367" s="10" t="str">
        <f t="shared" si="211"/>
        <v>Lyreco UK Ltd</v>
      </c>
      <c r="M367" s="12" t="str">
        <f t="shared" ref="M367:M430" si="236">"27/01/2017 00:00:00"</f>
        <v>27/01/2017 00:00:00</v>
      </c>
      <c r="N367" s="12">
        <v>42762</v>
      </c>
      <c r="O367" s="10" t="str">
        <f t="shared" ref="O367:O430" si="237">"C007779"</f>
        <v>C007779</v>
      </c>
      <c r="P367" s="13">
        <v>5.87</v>
      </c>
      <c r="Q367" s="11" t="str">
        <f>"5.8700"</f>
        <v>5.8700</v>
      </c>
      <c r="R367" s="10" t="str">
        <f t="shared" ref="R367:R430" si="238">"C0004586"</f>
        <v>C0004586</v>
      </c>
      <c r="S367" s="14" t="str">
        <f t="shared" ref="S367:S430" si="239">"1213.7800"</f>
        <v>1213.7800</v>
      </c>
      <c r="T367" s="10">
        <v>21100</v>
      </c>
      <c r="U367" s="10">
        <v>1444</v>
      </c>
      <c r="V367" s="10" t="str">
        <f t="shared" si="216"/>
        <v>Printing Stationery &amp; Off Supp</v>
      </c>
      <c r="W367" s="10" t="str">
        <f t="shared" si="217"/>
        <v>Supplies and Services</v>
      </c>
      <c r="X367" s="10" t="str">
        <f>VLOOKUP(U367,'[1]Account code lookup'!A:B,2,0)</f>
        <v>Stationery</v>
      </c>
      <c r="Z367" s="10" t="str">
        <f>"Law and Governance"</f>
        <v>Law and Governance</v>
      </c>
      <c r="AA367" s="10" t="str">
        <f t="shared" si="227"/>
        <v>Strategy and Commissioning</v>
      </c>
      <c r="AB367" s="10" t="str">
        <f t="shared" si="228"/>
        <v>4sac</v>
      </c>
      <c r="AD367" s="10" t="str">
        <f>"sac07"</f>
        <v>sac07</v>
      </c>
      <c r="AE367" s="10" t="str">
        <f t="shared" ref="AE367:AE430" si="240">"Finance &amp; Procurement / Head of Finance &amp; Procurement"</f>
        <v>Finance &amp; Procurement / Head of Finance &amp; Procurement</v>
      </c>
      <c r="AG367" s="10" t="str">
        <f>"21100/1444"</f>
        <v>21100/1444</v>
      </c>
      <c r="AI367" s="10" t="str">
        <f t="shared" si="219"/>
        <v>14suse</v>
      </c>
      <c r="AJ367" s="15" t="str">
        <f>"TRODAT ECO PRINTY 4750 DATER REFILL PADS BLUE/RED - PACK OF 2"</f>
        <v>TRODAT ECO PRINTY 4750 DATER REFILL PADS BLUE/RED - PACK OF 2</v>
      </c>
      <c r="AK367" s="10" t="str">
        <f t="shared" si="220"/>
        <v>Revenue</v>
      </c>
      <c r="AL367" s="10" t="str">
        <f>""</f>
        <v/>
      </c>
      <c r="AM367" s="10" t="str">
        <f>""</f>
        <v/>
      </c>
      <c r="AN367" s="10" t="str">
        <f>""</f>
        <v/>
      </c>
      <c r="AO367" s="10" t="str">
        <f>""</f>
        <v/>
      </c>
    </row>
    <row r="368" spans="1:41" s="10" customFormat="1" ht="409.6">
      <c r="A368" s="9"/>
      <c r="B368" s="9"/>
      <c r="C368" s="9"/>
      <c r="D368" s="10" t="str">
        <f>"34189"</f>
        <v>34189</v>
      </c>
      <c r="E368" s="11" t="str">
        <f>""</f>
        <v/>
      </c>
      <c r="F368" s="11" t="str">
        <f t="shared" si="231"/>
        <v>372418</v>
      </c>
      <c r="G368" s="11" t="str">
        <f t="shared" si="232"/>
        <v>2017toJAN</v>
      </c>
      <c r="H368" s="11" t="str">
        <f t="shared" si="233"/>
        <v>CRSP06B</v>
      </c>
      <c r="I368" s="11" t="str">
        <f t="shared" si="234"/>
        <v>34</v>
      </c>
      <c r="J368" s="11" t="str">
        <f t="shared" si="235"/>
        <v>Creditor</v>
      </c>
      <c r="K368" s="11" t="str">
        <f t="shared" si="210"/>
        <v>CS000551</v>
      </c>
      <c r="L368" s="10" t="str">
        <f t="shared" si="211"/>
        <v>Lyreco UK Ltd</v>
      </c>
      <c r="M368" s="12" t="str">
        <f t="shared" si="236"/>
        <v>27/01/2017 00:00:00</v>
      </c>
      <c r="N368" s="12">
        <v>42762</v>
      </c>
      <c r="O368" s="10" t="str">
        <f t="shared" si="237"/>
        <v>C007779</v>
      </c>
      <c r="P368" s="13">
        <v>110.5</v>
      </c>
      <c r="Q368" s="11" t="str">
        <f>"110.5000"</f>
        <v>110.5000</v>
      </c>
      <c r="R368" s="10" t="str">
        <f t="shared" si="238"/>
        <v>C0004586</v>
      </c>
      <c r="S368" s="14" t="str">
        <f t="shared" si="239"/>
        <v>1213.7800</v>
      </c>
      <c r="T368" s="10">
        <v>21700</v>
      </c>
      <c r="U368" s="10">
        <v>1441</v>
      </c>
      <c r="V368" s="10" t="str">
        <f t="shared" si="216"/>
        <v>Printing Stationery &amp; Off Supp</v>
      </c>
      <c r="W368" s="10" t="str">
        <f t="shared" si="217"/>
        <v>Supplies and Services</v>
      </c>
      <c r="X368" s="10" t="str">
        <f>VLOOKUP(U368,'[1]Account code lookup'!A:B,2,0)</f>
        <v>Printing Paper</v>
      </c>
      <c r="Z368" s="10" t="str">
        <f t="shared" ref="Z368:Z378" si="241">"Community Services"</f>
        <v>Community Services</v>
      </c>
      <c r="AA368" s="10" t="str">
        <f t="shared" ref="AA368:AA378" si="242">"Operations and Delivery"</f>
        <v>Operations and Delivery</v>
      </c>
      <c r="AB368" s="10" t="str">
        <f t="shared" ref="AB368:AB378" si="243">"5oad"</f>
        <v>5oad</v>
      </c>
      <c r="AD368" s="10" t="str">
        <f t="shared" ref="AD368:AD378" si="244">"oad01"</f>
        <v>oad01</v>
      </c>
      <c r="AE368" s="10" t="str">
        <f t="shared" si="240"/>
        <v>Finance &amp; Procurement / Head of Finance &amp; Procurement</v>
      </c>
      <c r="AG368" s="10" t="str">
        <f>"21700/1441"</f>
        <v>21700/1441</v>
      </c>
      <c r="AI368" s="10" t="str">
        <f t="shared" si="219"/>
        <v>14suse</v>
      </c>
      <c r="AJ368" s="15" t="str">
        <f>"LENZING COPY RIGHT PAPER A4 80GSM WHITE - BOX OF 5 REAMS"</f>
        <v>LENZING COPY RIGHT PAPER A4 80GSM WHITE - BOX OF 5 REAMS</v>
      </c>
      <c r="AK368" s="10" t="str">
        <f t="shared" si="220"/>
        <v>Revenue</v>
      </c>
      <c r="AL368" s="10" t="str">
        <f>""</f>
        <v/>
      </c>
      <c r="AM368" s="10" t="str">
        <f>""</f>
        <v/>
      </c>
      <c r="AN368" s="10" t="str">
        <f>""</f>
        <v/>
      </c>
      <c r="AO368" s="10" t="str">
        <f>""</f>
        <v/>
      </c>
    </row>
    <row r="369" spans="1:41" s="10" customFormat="1" ht="409.6">
      <c r="A369" s="9"/>
      <c r="B369" s="9"/>
      <c r="C369" s="9"/>
      <c r="D369" s="10" t="str">
        <f>"34500"</f>
        <v>34500</v>
      </c>
      <c r="E369" s="11" t="str">
        <f>""</f>
        <v/>
      </c>
      <c r="F369" s="11" t="str">
        <f t="shared" si="231"/>
        <v>372418</v>
      </c>
      <c r="G369" s="11" t="str">
        <f t="shared" si="232"/>
        <v>2017toJAN</v>
      </c>
      <c r="H369" s="11" t="str">
        <f t="shared" si="233"/>
        <v>CRSP06B</v>
      </c>
      <c r="I369" s="11" t="str">
        <f t="shared" si="234"/>
        <v>34</v>
      </c>
      <c r="J369" s="11" t="str">
        <f t="shared" si="235"/>
        <v>Creditor</v>
      </c>
      <c r="K369" s="11" t="str">
        <f t="shared" si="210"/>
        <v>CS000551</v>
      </c>
      <c r="L369" s="10" t="str">
        <f t="shared" si="211"/>
        <v>Lyreco UK Ltd</v>
      </c>
      <c r="M369" s="12" t="str">
        <f t="shared" si="236"/>
        <v>27/01/2017 00:00:00</v>
      </c>
      <c r="N369" s="12">
        <v>42762</v>
      </c>
      <c r="O369" s="10" t="str">
        <f t="shared" si="237"/>
        <v>C007779</v>
      </c>
      <c r="P369" s="13">
        <v>221</v>
      </c>
      <c r="Q369" s="11" t="str">
        <f>"221.0000"</f>
        <v>221.0000</v>
      </c>
      <c r="R369" s="10" t="str">
        <f t="shared" si="238"/>
        <v>C0004586</v>
      </c>
      <c r="S369" s="14" t="str">
        <f t="shared" si="239"/>
        <v>1213.7800</v>
      </c>
      <c r="T369" s="10">
        <v>21700</v>
      </c>
      <c r="U369" s="10">
        <v>1441</v>
      </c>
      <c r="V369" s="10" t="str">
        <f t="shared" si="216"/>
        <v>Printing Stationery &amp; Off Supp</v>
      </c>
      <c r="W369" s="10" t="str">
        <f t="shared" si="217"/>
        <v>Supplies and Services</v>
      </c>
      <c r="X369" s="10" t="str">
        <f>VLOOKUP(U369,'[1]Account code lookup'!A:B,2,0)</f>
        <v>Printing Paper</v>
      </c>
      <c r="Z369" s="10" t="str">
        <f t="shared" si="241"/>
        <v>Community Services</v>
      </c>
      <c r="AA369" s="10" t="str">
        <f t="shared" si="242"/>
        <v>Operations and Delivery</v>
      </c>
      <c r="AB369" s="10" t="str">
        <f t="shared" si="243"/>
        <v>5oad</v>
      </c>
      <c r="AD369" s="10" t="str">
        <f t="shared" si="244"/>
        <v>oad01</v>
      </c>
      <c r="AE369" s="10" t="str">
        <f t="shared" si="240"/>
        <v>Finance &amp; Procurement / Head of Finance &amp; Procurement</v>
      </c>
      <c r="AG369" s="10" t="str">
        <f>"21700/1441"</f>
        <v>21700/1441</v>
      </c>
      <c r="AI369" s="10" t="str">
        <f t="shared" si="219"/>
        <v>14suse</v>
      </c>
      <c r="AJ369" s="15" t="str">
        <f>"LENZING COPY RIGHT PAPER A4 80GSM WHITE - BOX OF 5 REAMS"</f>
        <v>LENZING COPY RIGHT PAPER A4 80GSM WHITE - BOX OF 5 REAMS</v>
      </c>
      <c r="AK369" s="10" t="str">
        <f t="shared" si="220"/>
        <v>Revenue</v>
      </c>
      <c r="AL369" s="10" t="str">
        <f>""</f>
        <v/>
      </c>
      <c r="AM369" s="10" t="str">
        <f>""</f>
        <v/>
      </c>
      <c r="AN369" s="10" t="str">
        <f>""</f>
        <v/>
      </c>
      <c r="AO369" s="10" t="str">
        <f>""</f>
        <v/>
      </c>
    </row>
    <row r="370" spans="1:41" s="10" customFormat="1" ht="409.6">
      <c r="A370" s="9"/>
      <c r="B370" s="9"/>
      <c r="C370" s="9"/>
      <c r="D370" s="10" t="str">
        <f>"34501"</f>
        <v>34501</v>
      </c>
      <c r="E370" s="11" t="str">
        <f>""</f>
        <v/>
      </c>
      <c r="F370" s="11" t="str">
        <f t="shared" si="231"/>
        <v>372418</v>
      </c>
      <c r="G370" s="11" t="str">
        <f t="shared" si="232"/>
        <v>2017toJAN</v>
      </c>
      <c r="H370" s="11" t="str">
        <f t="shared" si="233"/>
        <v>CRSP06B</v>
      </c>
      <c r="I370" s="11" t="str">
        <f t="shared" si="234"/>
        <v>34</v>
      </c>
      <c r="J370" s="11" t="str">
        <f t="shared" si="235"/>
        <v>Creditor</v>
      </c>
      <c r="K370" s="11" t="str">
        <f t="shared" si="210"/>
        <v>CS000551</v>
      </c>
      <c r="L370" s="10" t="str">
        <f t="shared" si="211"/>
        <v>Lyreco UK Ltd</v>
      </c>
      <c r="M370" s="12" t="str">
        <f t="shared" si="236"/>
        <v>27/01/2017 00:00:00</v>
      </c>
      <c r="N370" s="12">
        <v>42762</v>
      </c>
      <c r="O370" s="10" t="str">
        <f t="shared" si="237"/>
        <v>C007779</v>
      </c>
      <c r="P370" s="13">
        <v>331.5</v>
      </c>
      <c r="Q370" s="11" t="str">
        <f>"331.5000"</f>
        <v>331.5000</v>
      </c>
      <c r="R370" s="10" t="str">
        <f t="shared" si="238"/>
        <v>C0004586</v>
      </c>
      <c r="S370" s="14" t="str">
        <f t="shared" si="239"/>
        <v>1213.7800</v>
      </c>
      <c r="T370" s="10">
        <v>21700</v>
      </c>
      <c r="U370" s="10">
        <v>1441</v>
      </c>
      <c r="V370" s="10" t="str">
        <f t="shared" si="216"/>
        <v>Printing Stationery &amp; Off Supp</v>
      </c>
      <c r="W370" s="10" t="str">
        <f t="shared" si="217"/>
        <v>Supplies and Services</v>
      </c>
      <c r="X370" s="10" t="str">
        <f>VLOOKUP(U370,'[1]Account code lookup'!A:B,2,0)</f>
        <v>Printing Paper</v>
      </c>
      <c r="Z370" s="10" t="str">
        <f t="shared" si="241"/>
        <v>Community Services</v>
      </c>
      <c r="AA370" s="10" t="str">
        <f t="shared" si="242"/>
        <v>Operations and Delivery</v>
      </c>
      <c r="AB370" s="10" t="str">
        <f t="shared" si="243"/>
        <v>5oad</v>
      </c>
      <c r="AD370" s="10" t="str">
        <f t="shared" si="244"/>
        <v>oad01</v>
      </c>
      <c r="AE370" s="10" t="str">
        <f t="shared" si="240"/>
        <v>Finance &amp; Procurement / Head of Finance &amp; Procurement</v>
      </c>
      <c r="AG370" s="10" t="str">
        <f>"21700/1441"</f>
        <v>21700/1441</v>
      </c>
      <c r="AI370" s="10" t="str">
        <f t="shared" si="219"/>
        <v>14suse</v>
      </c>
      <c r="AJ370" s="15" t="str">
        <f>"LENZING COPY RIGHT PAPER A4 80GSM WHITE - BOX OF 5 REAMS"</f>
        <v>LENZING COPY RIGHT PAPER A4 80GSM WHITE - BOX OF 5 REAMS</v>
      </c>
      <c r="AK370" s="10" t="str">
        <f t="shared" si="220"/>
        <v>Revenue</v>
      </c>
      <c r="AL370" s="10" t="str">
        <f>""</f>
        <v/>
      </c>
      <c r="AM370" s="10" t="str">
        <f>""</f>
        <v/>
      </c>
      <c r="AN370" s="10" t="str">
        <f>""</f>
        <v/>
      </c>
      <c r="AO370" s="10" t="str">
        <f>""</f>
        <v/>
      </c>
    </row>
    <row r="371" spans="1:41" s="10" customFormat="1" ht="409.6">
      <c r="A371" s="9"/>
      <c r="B371" s="9"/>
      <c r="C371" s="9"/>
      <c r="D371" s="10" t="str">
        <f>"34502"</f>
        <v>34502</v>
      </c>
      <c r="E371" s="11" t="str">
        <f>""</f>
        <v/>
      </c>
      <c r="F371" s="11" t="str">
        <f t="shared" si="231"/>
        <v>372418</v>
      </c>
      <c r="G371" s="11" t="str">
        <f t="shared" si="232"/>
        <v>2017toJAN</v>
      </c>
      <c r="H371" s="11" t="str">
        <f t="shared" si="233"/>
        <v>CRSP06B</v>
      </c>
      <c r="I371" s="11" t="str">
        <f t="shared" si="234"/>
        <v>34</v>
      </c>
      <c r="J371" s="11" t="str">
        <f t="shared" si="235"/>
        <v>Creditor</v>
      </c>
      <c r="K371" s="11" t="str">
        <f t="shared" si="210"/>
        <v>CS000551</v>
      </c>
      <c r="L371" s="10" t="str">
        <f t="shared" si="211"/>
        <v>Lyreco UK Ltd</v>
      </c>
      <c r="M371" s="12" t="str">
        <f t="shared" si="236"/>
        <v>27/01/2017 00:00:00</v>
      </c>
      <c r="N371" s="12">
        <v>42762</v>
      </c>
      <c r="O371" s="10" t="str">
        <f t="shared" si="237"/>
        <v>C007779</v>
      </c>
      <c r="P371" s="13">
        <v>12.45</v>
      </c>
      <c r="Q371" s="11" t="str">
        <f>"12.4500"</f>
        <v>12.4500</v>
      </c>
      <c r="R371" s="10" t="str">
        <f t="shared" si="238"/>
        <v>C0004586</v>
      </c>
      <c r="S371" s="14" t="str">
        <f t="shared" si="239"/>
        <v>1213.7800</v>
      </c>
      <c r="T371" s="10">
        <v>21700</v>
      </c>
      <c r="U371" s="10">
        <v>1441</v>
      </c>
      <c r="V371" s="10" t="str">
        <f t="shared" si="216"/>
        <v>Printing Stationery &amp; Off Supp</v>
      </c>
      <c r="W371" s="10" t="str">
        <f t="shared" si="217"/>
        <v>Supplies and Services</v>
      </c>
      <c r="X371" s="10" t="str">
        <f>VLOOKUP(U371,'[1]Account code lookup'!A:B,2,0)</f>
        <v>Printing Paper</v>
      </c>
      <c r="Z371" s="10" t="str">
        <f t="shared" si="241"/>
        <v>Community Services</v>
      </c>
      <c r="AA371" s="10" t="str">
        <f t="shared" si="242"/>
        <v>Operations and Delivery</v>
      </c>
      <c r="AB371" s="10" t="str">
        <f t="shared" si="243"/>
        <v>5oad</v>
      </c>
      <c r="AD371" s="10" t="str">
        <f t="shared" si="244"/>
        <v>oad01</v>
      </c>
      <c r="AE371" s="10" t="str">
        <f t="shared" si="240"/>
        <v>Finance &amp; Procurement / Head of Finance &amp; Procurement</v>
      </c>
      <c r="AG371" s="10" t="str">
        <f>"21700/1441"</f>
        <v>21700/1441</v>
      </c>
      <c r="AI371" s="10" t="str">
        <f t="shared" si="219"/>
        <v>14suse</v>
      </c>
      <c r="AJ371" s="15" t="str">
        <f>"LYRECO BUDGET WHITE A3 80GSM COPIER PAPER-BOX OF 3 REAMS (3X500 SHEETS OF PAPER)"</f>
        <v>LYRECO BUDGET WHITE A3 80GSM COPIER PAPER-BOX OF 3 REAMS (3X500 SHEETS OF PAPER)</v>
      </c>
      <c r="AK371" s="10" t="str">
        <f t="shared" si="220"/>
        <v>Revenue</v>
      </c>
      <c r="AL371" s="10" t="str">
        <f>""</f>
        <v/>
      </c>
      <c r="AM371" s="10" t="str">
        <f>""</f>
        <v/>
      </c>
      <c r="AN371" s="10" t="str">
        <f>""</f>
        <v/>
      </c>
      <c r="AO371" s="10" t="str">
        <f>""</f>
        <v/>
      </c>
    </row>
    <row r="372" spans="1:41" s="10" customFormat="1" ht="409.6">
      <c r="A372" s="9"/>
      <c r="B372" s="9"/>
      <c r="C372" s="9"/>
      <c r="D372" s="10" t="str">
        <f>"34573"</f>
        <v>34573</v>
      </c>
      <c r="E372" s="11" t="str">
        <f>""</f>
        <v/>
      </c>
      <c r="F372" s="11" t="str">
        <f t="shared" si="231"/>
        <v>372418</v>
      </c>
      <c r="G372" s="11" t="str">
        <f t="shared" si="232"/>
        <v>2017toJAN</v>
      </c>
      <c r="H372" s="11" t="str">
        <f t="shared" si="233"/>
        <v>CRSP06B</v>
      </c>
      <c r="I372" s="11" t="str">
        <f t="shared" si="234"/>
        <v>34</v>
      </c>
      <c r="J372" s="11" t="str">
        <f t="shared" si="235"/>
        <v>Creditor</v>
      </c>
      <c r="K372" s="11" t="str">
        <f t="shared" si="210"/>
        <v>CS000551</v>
      </c>
      <c r="L372" s="10" t="str">
        <f t="shared" si="211"/>
        <v>Lyreco UK Ltd</v>
      </c>
      <c r="M372" s="12" t="str">
        <f t="shared" si="236"/>
        <v>27/01/2017 00:00:00</v>
      </c>
      <c r="N372" s="12">
        <v>42762</v>
      </c>
      <c r="O372" s="10" t="str">
        <f t="shared" si="237"/>
        <v>C007779</v>
      </c>
      <c r="P372" s="13">
        <v>0.6</v>
      </c>
      <c r="Q372" s="11" t="str">
        <f>"0.6000"</f>
        <v>0.6000</v>
      </c>
      <c r="R372" s="10" t="str">
        <f t="shared" si="238"/>
        <v>C0004586</v>
      </c>
      <c r="S372" s="14" t="str">
        <f t="shared" si="239"/>
        <v>1213.7800</v>
      </c>
      <c r="T372" s="10">
        <v>21700</v>
      </c>
      <c r="U372" s="10">
        <v>1444</v>
      </c>
      <c r="V372" s="10" t="str">
        <f t="shared" si="216"/>
        <v>Printing Stationery &amp; Off Supp</v>
      </c>
      <c r="W372" s="10" t="str">
        <f t="shared" si="217"/>
        <v>Supplies and Services</v>
      </c>
      <c r="X372" s="10" t="str">
        <f>VLOOKUP(U372,'[1]Account code lookup'!A:B,2,0)</f>
        <v>Stationery</v>
      </c>
      <c r="Z372" s="10" t="str">
        <f t="shared" si="241"/>
        <v>Community Services</v>
      </c>
      <c r="AA372" s="10" t="str">
        <f t="shared" si="242"/>
        <v>Operations and Delivery</v>
      </c>
      <c r="AB372" s="10" t="str">
        <f t="shared" si="243"/>
        <v>5oad</v>
      </c>
      <c r="AD372" s="10" t="str">
        <f t="shared" si="244"/>
        <v>oad01</v>
      </c>
      <c r="AE372" s="10" t="str">
        <f t="shared" si="240"/>
        <v>Finance &amp; Procurement / Head of Finance &amp; Procurement</v>
      </c>
      <c r="AG372" s="10" t="str">
        <f>"21700/1444"</f>
        <v>21700/1444</v>
      </c>
      <c r="AI372" s="10" t="str">
        <f t="shared" si="219"/>
        <v>14suse</v>
      </c>
      <c r="AJ372" s="15" t="str">
        <f>"PAPER CLIPS LARGE LIPPED 32MM - BOX OF 1000"</f>
        <v>PAPER CLIPS LARGE LIPPED 32MM - BOX OF 1000</v>
      </c>
      <c r="AK372" s="10" t="str">
        <f t="shared" si="220"/>
        <v>Revenue</v>
      </c>
      <c r="AL372" s="10" t="str">
        <f>""</f>
        <v/>
      </c>
      <c r="AM372" s="10" t="str">
        <f>""</f>
        <v/>
      </c>
      <c r="AN372" s="10" t="str">
        <f>""</f>
        <v/>
      </c>
      <c r="AO372" s="10" t="str">
        <f>""</f>
        <v/>
      </c>
    </row>
    <row r="373" spans="1:41" s="10" customFormat="1" ht="409.6">
      <c r="A373" s="9"/>
      <c r="B373" s="9"/>
      <c r="C373" s="9"/>
      <c r="D373" s="10" t="str">
        <f>"34880"</f>
        <v>34880</v>
      </c>
      <c r="E373" s="11" t="str">
        <f>""</f>
        <v/>
      </c>
      <c r="F373" s="11" t="str">
        <f t="shared" si="231"/>
        <v>372418</v>
      </c>
      <c r="G373" s="11" t="str">
        <f t="shared" si="232"/>
        <v>2017toJAN</v>
      </c>
      <c r="H373" s="11" t="str">
        <f t="shared" si="233"/>
        <v>CRSP06B</v>
      </c>
      <c r="I373" s="11" t="str">
        <f t="shared" si="234"/>
        <v>34</v>
      </c>
      <c r="J373" s="11" t="str">
        <f t="shared" si="235"/>
        <v>Creditor</v>
      </c>
      <c r="K373" s="11" t="str">
        <f t="shared" si="210"/>
        <v>CS000551</v>
      </c>
      <c r="L373" s="10" t="str">
        <f t="shared" si="211"/>
        <v>Lyreco UK Ltd</v>
      </c>
      <c r="M373" s="12" t="str">
        <f t="shared" si="236"/>
        <v>27/01/2017 00:00:00</v>
      </c>
      <c r="N373" s="12">
        <v>42762</v>
      </c>
      <c r="O373" s="10" t="str">
        <f t="shared" si="237"/>
        <v>C007779</v>
      </c>
      <c r="P373" s="13">
        <v>3.21</v>
      </c>
      <c r="Q373" s="11" t="str">
        <f>"3.2100"</f>
        <v>3.2100</v>
      </c>
      <c r="R373" s="10" t="str">
        <f t="shared" si="238"/>
        <v>C0004586</v>
      </c>
      <c r="S373" s="14" t="str">
        <f t="shared" si="239"/>
        <v>1213.7800</v>
      </c>
      <c r="T373" s="10">
        <v>21703</v>
      </c>
      <c r="U373" s="10">
        <v>1444</v>
      </c>
      <c r="V373" s="10" t="str">
        <f t="shared" si="216"/>
        <v>Printing Stationery &amp; Off Supp</v>
      </c>
      <c r="W373" s="10" t="str">
        <f t="shared" si="217"/>
        <v>Supplies and Services</v>
      </c>
      <c r="X373" s="10" t="str">
        <f>VLOOKUP(U373,'[1]Account code lookup'!A:B,2,0)</f>
        <v>Stationery</v>
      </c>
      <c r="Z373" s="10" t="str">
        <f t="shared" si="241"/>
        <v>Community Services</v>
      </c>
      <c r="AA373" s="10" t="str">
        <f t="shared" si="242"/>
        <v>Operations and Delivery</v>
      </c>
      <c r="AB373" s="10" t="str">
        <f t="shared" si="243"/>
        <v>5oad</v>
      </c>
      <c r="AD373" s="10" t="str">
        <f t="shared" si="244"/>
        <v>oad01</v>
      </c>
      <c r="AE373" s="10" t="str">
        <f t="shared" si="240"/>
        <v>Finance &amp; Procurement / Head of Finance &amp; Procurement</v>
      </c>
      <c r="AG373" s="10" t="str">
        <f>"21703/1444"</f>
        <v>21703/1444</v>
      </c>
      <c r="AI373" s="10" t="str">
        <f t="shared" si="219"/>
        <v>14suse</v>
      </c>
      <c r="AJ373" s="15" t="str">
        <f>"ENERGIZER 1ST PRICE BATTERIES LR6/AA - PACK OF 10"</f>
        <v>ENERGIZER 1ST PRICE BATTERIES LR6/AA - PACK OF 10</v>
      </c>
      <c r="AK373" s="10" t="str">
        <f t="shared" si="220"/>
        <v>Revenue</v>
      </c>
      <c r="AL373" s="10" t="str">
        <f>""</f>
        <v/>
      </c>
      <c r="AM373" s="10" t="str">
        <f>""</f>
        <v/>
      </c>
      <c r="AN373" s="10" t="str">
        <f>""</f>
        <v/>
      </c>
      <c r="AO373" s="10" t="str">
        <f>""</f>
        <v/>
      </c>
    </row>
    <row r="374" spans="1:41" s="10" customFormat="1" ht="409.6">
      <c r="A374" s="9"/>
      <c r="B374" s="9"/>
      <c r="C374" s="9"/>
      <c r="D374" s="10" t="str">
        <f>"27769"</f>
        <v>27769</v>
      </c>
      <c r="E374" s="11" t="str">
        <f>""</f>
        <v/>
      </c>
      <c r="F374" s="11" t="str">
        <f t="shared" si="231"/>
        <v>372418</v>
      </c>
      <c r="G374" s="11" t="str">
        <f t="shared" si="232"/>
        <v>2017toJAN</v>
      </c>
      <c r="H374" s="11" t="str">
        <f t="shared" si="233"/>
        <v>CRSP06B</v>
      </c>
      <c r="I374" s="11" t="str">
        <f t="shared" si="234"/>
        <v>34</v>
      </c>
      <c r="J374" s="11" t="str">
        <f t="shared" si="235"/>
        <v>Creditor</v>
      </c>
      <c r="K374" s="11" t="str">
        <f t="shared" si="210"/>
        <v>CS000551</v>
      </c>
      <c r="L374" s="10" t="str">
        <f t="shared" si="211"/>
        <v>Lyreco UK Ltd</v>
      </c>
      <c r="M374" s="12" t="str">
        <f t="shared" si="236"/>
        <v>27/01/2017 00:00:00</v>
      </c>
      <c r="N374" s="12">
        <v>42762</v>
      </c>
      <c r="O374" s="10" t="str">
        <f t="shared" si="237"/>
        <v>C007779</v>
      </c>
      <c r="P374" s="13">
        <v>2</v>
      </c>
      <c r="Q374" s="11" t="str">
        <f>"2.0000"</f>
        <v>2.0000</v>
      </c>
      <c r="R374" s="10" t="str">
        <f t="shared" si="238"/>
        <v>C0004586</v>
      </c>
      <c r="S374" s="14" t="str">
        <f t="shared" si="239"/>
        <v>1213.7800</v>
      </c>
      <c r="T374" s="10">
        <v>21703</v>
      </c>
      <c r="U374" s="10">
        <v>1444</v>
      </c>
      <c r="V374" s="10" t="str">
        <f t="shared" si="216"/>
        <v>Printing Stationery &amp; Off Supp</v>
      </c>
      <c r="W374" s="10" t="str">
        <f t="shared" si="217"/>
        <v>Supplies and Services</v>
      </c>
      <c r="X374" s="10" t="str">
        <f>VLOOKUP(U374,'[1]Account code lookup'!A:B,2,0)</f>
        <v>Stationery</v>
      </c>
      <c r="Z374" s="10" t="str">
        <f t="shared" si="241"/>
        <v>Community Services</v>
      </c>
      <c r="AA374" s="10" t="str">
        <f t="shared" si="242"/>
        <v>Operations and Delivery</v>
      </c>
      <c r="AB374" s="10" t="str">
        <f t="shared" si="243"/>
        <v>5oad</v>
      </c>
      <c r="AD374" s="10" t="str">
        <f t="shared" si="244"/>
        <v>oad01</v>
      </c>
      <c r="AE374" s="10" t="str">
        <f t="shared" si="240"/>
        <v>Finance &amp; Procurement / Head of Finance &amp; Procurement</v>
      </c>
      <c r="AG374" s="10" t="str">
        <f>"21703/1444"</f>
        <v>21703/1444</v>
      </c>
      <c r="AI374" s="10" t="str">
        <f t="shared" si="219"/>
        <v>14suse</v>
      </c>
      <c r="AJ374" s="15" t="str">
        <f>"LYRECO BUDGET WHITE A4 MEMO PADS (RULED) - PACK OF 10 (10 X 80 SHEETS)"</f>
        <v>LYRECO BUDGET WHITE A4 MEMO PADS (RULED) - PACK OF 10 (10 X 80 SHEETS)</v>
      </c>
      <c r="AK374" s="10" t="str">
        <f t="shared" si="220"/>
        <v>Revenue</v>
      </c>
      <c r="AL374" s="10" t="str">
        <f>""</f>
        <v/>
      </c>
      <c r="AM374" s="10" t="str">
        <f>""</f>
        <v/>
      </c>
      <c r="AN374" s="10" t="str">
        <f>""</f>
        <v/>
      </c>
      <c r="AO374" s="10" t="str">
        <f>""</f>
        <v/>
      </c>
    </row>
    <row r="375" spans="1:41" s="10" customFormat="1" ht="409.6">
      <c r="A375" s="9"/>
      <c r="B375" s="9"/>
      <c r="C375" s="9"/>
      <c r="D375" s="10" t="str">
        <f>"27770"</f>
        <v>27770</v>
      </c>
      <c r="E375" s="11" t="str">
        <f>""</f>
        <v/>
      </c>
      <c r="F375" s="11" t="str">
        <f t="shared" si="231"/>
        <v>372418</v>
      </c>
      <c r="G375" s="11" t="str">
        <f t="shared" si="232"/>
        <v>2017toJAN</v>
      </c>
      <c r="H375" s="11" t="str">
        <f t="shared" si="233"/>
        <v>CRSP06B</v>
      </c>
      <c r="I375" s="11" t="str">
        <f t="shared" si="234"/>
        <v>34</v>
      </c>
      <c r="J375" s="11" t="str">
        <f t="shared" si="235"/>
        <v>Creditor</v>
      </c>
      <c r="K375" s="11" t="str">
        <f t="shared" si="210"/>
        <v>CS000551</v>
      </c>
      <c r="L375" s="10" t="str">
        <f t="shared" si="211"/>
        <v>Lyreco UK Ltd</v>
      </c>
      <c r="M375" s="12" t="str">
        <f t="shared" si="236"/>
        <v>27/01/2017 00:00:00</v>
      </c>
      <c r="N375" s="12">
        <v>42762</v>
      </c>
      <c r="O375" s="10" t="str">
        <f t="shared" si="237"/>
        <v>C007779</v>
      </c>
      <c r="P375" s="13">
        <v>0.22</v>
      </c>
      <c r="Q375" s="11" t="str">
        <f>"0.2200"</f>
        <v>0.2200</v>
      </c>
      <c r="R375" s="10" t="str">
        <f t="shared" si="238"/>
        <v>C0004586</v>
      </c>
      <c r="S375" s="14" t="str">
        <f t="shared" si="239"/>
        <v>1213.7800</v>
      </c>
      <c r="T375" s="10">
        <v>21703</v>
      </c>
      <c r="U375" s="10">
        <v>1444</v>
      </c>
      <c r="V375" s="10" t="str">
        <f t="shared" si="216"/>
        <v>Printing Stationery &amp; Off Supp</v>
      </c>
      <c r="W375" s="10" t="str">
        <f t="shared" si="217"/>
        <v>Supplies and Services</v>
      </c>
      <c r="X375" s="10" t="str">
        <f>VLOOKUP(U375,'[1]Account code lookup'!A:B,2,0)</f>
        <v>Stationery</v>
      </c>
      <c r="Z375" s="10" t="str">
        <f t="shared" si="241"/>
        <v>Community Services</v>
      </c>
      <c r="AA375" s="10" t="str">
        <f t="shared" si="242"/>
        <v>Operations and Delivery</v>
      </c>
      <c r="AB375" s="10" t="str">
        <f t="shared" si="243"/>
        <v>5oad</v>
      </c>
      <c r="AD375" s="10" t="str">
        <f t="shared" si="244"/>
        <v>oad01</v>
      </c>
      <c r="AE375" s="10" t="str">
        <f t="shared" si="240"/>
        <v>Finance &amp; Procurement / Head of Finance &amp; Procurement</v>
      </c>
      <c r="AG375" s="10" t="str">
        <f>"21703/1444"</f>
        <v>21703/1444</v>
      </c>
      <c r="AI375" s="10" t="str">
        <f t="shared" si="219"/>
        <v>14suse</v>
      </c>
      <c r="AJ375" s="15" t="str">
        <f>"LYRECO HB PENCILS - BOX OF 12"</f>
        <v>LYRECO HB PENCILS - BOX OF 12</v>
      </c>
      <c r="AK375" s="10" t="str">
        <f t="shared" si="220"/>
        <v>Revenue</v>
      </c>
      <c r="AL375" s="10" t="str">
        <f>""</f>
        <v/>
      </c>
      <c r="AM375" s="10" t="str">
        <f>""</f>
        <v/>
      </c>
      <c r="AN375" s="10" t="str">
        <f>""</f>
        <v/>
      </c>
      <c r="AO375" s="10" t="str">
        <f>""</f>
        <v/>
      </c>
    </row>
    <row r="376" spans="1:41" s="10" customFormat="1" ht="409.6">
      <c r="A376" s="9"/>
      <c r="B376" s="9"/>
      <c r="C376" s="9"/>
      <c r="D376" s="10" t="str">
        <f>"27771"</f>
        <v>27771</v>
      </c>
      <c r="E376" s="11" t="str">
        <f>""</f>
        <v/>
      </c>
      <c r="F376" s="11" t="str">
        <f t="shared" si="231"/>
        <v>372418</v>
      </c>
      <c r="G376" s="11" t="str">
        <f t="shared" si="232"/>
        <v>2017toJAN</v>
      </c>
      <c r="H376" s="11" t="str">
        <f t="shared" si="233"/>
        <v>CRSP06B</v>
      </c>
      <c r="I376" s="11" t="str">
        <f t="shared" si="234"/>
        <v>34</v>
      </c>
      <c r="J376" s="11" t="str">
        <f t="shared" si="235"/>
        <v>Creditor</v>
      </c>
      <c r="K376" s="11" t="str">
        <f t="shared" si="210"/>
        <v>CS000551</v>
      </c>
      <c r="L376" s="10" t="str">
        <f t="shared" si="211"/>
        <v>Lyreco UK Ltd</v>
      </c>
      <c r="M376" s="12" t="str">
        <f t="shared" si="236"/>
        <v>27/01/2017 00:00:00</v>
      </c>
      <c r="N376" s="12">
        <v>42762</v>
      </c>
      <c r="O376" s="10" t="str">
        <f t="shared" si="237"/>
        <v>C007779</v>
      </c>
      <c r="P376" s="13">
        <v>0.6</v>
      </c>
      <c r="Q376" s="11" t="str">
        <f>"0.6000"</f>
        <v>0.6000</v>
      </c>
      <c r="R376" s="10" t="str">
        <f t="shared" si="238"/>
        <v>C0004586</v>
      </c>
      <c r="S376" s="14" t="str">
        <f t="shared" si="239"/>
        <v>1213.7800</v>
      </c>
      <c r="T376" s="10">
        <v>21703</v>
      </c>
      <c r="U376" s="10">
        <v>1444</v>
      </c>
      <c r="V376" s="10" t="str">
        <f t="shared" si="216"/>
        <v>Printing Stationery &amp; Off Supp</v>
      </c>
      <c r="W376" s="10" t="str">
        <f t="shared" si="217"/>
        <v>Supplies and Services</v>
      </c>
      <c r="X376" s="10" t="str">
        <f>VLOOKUP(U376,'[1]Account code lookup'!A:B,2,0)</f>
        <v>Stationery</v>
      </c>
      <c r="Z376" s="10" t="str">
        <f t="shared" si="241"/>
        <v>Community Services</v>
      </c>
      <c r="AA376" s="10" t="str">
        <f t="shared" si="242"/>
        <v>Operations and Delivery</v>
      </c>
      <c r="AB376" s="10" t="str">
        <f t="shared" si="243"/>
        <v>5oad</v>
      </c>
      <c r="AD376" s="10" t="str">
        <f t="shared" si="244"/>
        <v>oad01</v>
      </c>
      <c r="AE376" s="10" t="str">
        <f t="shared" si="240"/>
        <v>Finance &amp; Procurement / Head of Finance &amp; Procurement</v>
      </c>
      <c r="AG376" s="10" t="str">
        <f>"21703/1444"</f>
        <v>21703/1444</v>
      </c>
      <c r="AI376" s="10" t="str">
        <f t="shared" si="219"/>
        <v>14suse</v>
      </c>
      <c r="AJ376" s="15" t="str">
        <f>"LYRECO STAPLES 26/6 - BOX OF 5000"</f>
        <v>LYRECO STAPLES 26/6 - BOX OF 5000</v>
      </c>
      <c r="AK376" s="10" t="str">
        <f t="shared" si="220"/>
        <v>Revenue</v>
      </c>
      <c r="AL376" s="10" t="str">
        <f>""</f>
        <v/>
      </c>
      <c r="AM376" s="10" t="str">
        <f>""</f>
        <v/>
      </c>
      <c r="AN376" s="10" t="str">
        <f>""</f>
        <v/>
      </c>
      <c r="AO376" s="10" t="str">
        <f>""</f>
        <v/>
      </c>
    </row>
    <row r="377" spans="1:41" s="10" customFormat="1" ht="409.6">
      <c r="A377" s="9"/>
      <c r="B377" s="9"/>
      <c r="C377" s="9"/>
      <c r="D377" s="10" t="str">
        <f>"28623"</f>
        <v>28623</v>
      </c>
      <c r="E377" s="11" t="str">
        <f>""</f>
        <v/>
      </c>
      <c r="F377" s="11" t="str">
        <f t="shared" si="231"/>
        <v>372418</v>
      </c>
      <c r="G377" s="11" t="str">
        <f t="shared" si="232"/>
        <v>2017toJAN</v>
      </c>
      <c r="H377" s="11" t="str">
        <f t="shared" si="233"/>
        <v>CRSP06B</v>
      </c>
      <c r="I377" s="11" t="str">
        <f t="shared" si="234"/>
        <v>34</v>
      </c>
      <c r="J377" s="11" t="str">
        <f t="shared" si="235"/>
        <v>Creditor</v>
      </c>
      <c r="K377" s="11" t="str">
        <f t="shared" ref="K377:K432" si="245">"CS000551"</f>
        <v>CS000551</v>
      </c>
      <c r="L377" s="10" t="str">
        <f t="shared" ref="L377:L432" si="246">"Lyreco UK Ltd"</f>
        <v>Lyreco UK Ltd</v>
      </c>
      <c r="M377" s="12" t="str">
        <f t="shared" si="236"/>
        <v>27/01/2017 00:00:00</v>
      </c>
      <c r="N377" s="12">
        <v>42762</v>
      </c>
      <c r="O377" s="10" t="str">
        <f t="shared" si="237"/>
        <v>C007779</v>
      </c>
      <c r="P377" s="13">
        <v>6.06</v>
      </c>
      <c r="Q377" s="11" t="str">
        <f>"6.0600"</f>
        <v>6.0600</v>
      </c>
      <c r="R377" s="10" t="str">
        <f t="shared" si="238"/>
        <v>C0004586</v>
      </c>
      <c r="S377" s="14" t="str">
        <f t="shared" si="239"/>
        <v>1213.7800</v>
      </c>
      <c r="T377" s="10">
        <v>21704</v>
      </c>
      <c r="U377" s="10">
        <v>1444</v>
      </c>
      <c r="V377" s="10" t="str">
        <f t="shared" ref="V377:V432" si="247">"Printing Stationery &amp; Off Supp"</f>
        <v>Printing Stationery &amp; Off Supp</v>
      </c>
      <c r="W377" s="10" t="str">
        <f t="shared" ref="W377:W432" si="248">"Supplies and Services"</f>
        <v>Supplies and Services</v>
      </c>
      <c r="X377" s="10" t="str">
        <f>VLOOKUP(U377,'[1]Account code lookup'!A:B,2,0)</f>
        <v>Stationery</v>
      </c>
      <c r="Z377" s="10" t="str">
        <f t="shared" si="241"/>
        <v>Community Services</v>
      </c>
      <c r="AA377" s="10" t="str">
        <f t="shared" si="242"/>
        <v>Operations and Delivery</v>
      </c>
      <c r="AB377" s="10" t="str">
        <f t="shared" si="243"/>
        <v>5oad</v>
      </c>
      <c r="AD377" s="10" t="str">
        <f t="shared" si="244"/>
        <v>oad01</v>
      </c>
      <c r="AE377" s="10" t="str">
        <f t="shared" si="240"/>
        <v>Finance &amp; Procurement / Head of Finance &amp; Procurement</v>
      </c>
      <c r="AG377" s="10" t="str">
        <f>"21704/1444"</f>
        <v>21704/1444</v>
      </c>
      <c r="AI377" s="10" t="str">
        <f t="shared" ref="AI377:AI432" si="249">"14suse"</f>
        <v>14suse</v>
      </c>
      <c r="AJ377" s="15" t="str">
        <f>"LYRECO WHITE C4 SELF SEAL PLAIN ENVELOPES 100GSM - BOX OF 250"</f>
        <v>LYRECO WHITE C4 SELF SEAL PLAIN ENVELOPES 100GSM - BOX OF 250</v>
      </c>
      <c r="AK377" s="10" t="str">
        <f t="shared" ref="AK377:AK440" si="250">"Revenue"</f>
        <v>Revenue</v>
      </c>
      <c r="AL377" s="10" t="str">
        <f>""</f>
        <v/>
      </c>
      <c r="AM377" s="10" t="str">
        <f>""</f>
        <v/>
      </c>
      <c r="AN377" s="10" t="str">
        <f>""</f>
        <v/>
      </c>
      <c r="AO377" s="10" t="str">
        <f>""</f>
        <v/>
      </c>
    </row>
    <row r="378" spans="1:41" s="10" customFormat="1" ht="409.6">
      <c r="A378" s="9"/>
      <c r="B378" s="9"/>
      <c r="C378" s="9"/>
      <c r="D378" s="10" t="str">
        <f>"28624"</f>
        <v>28624</v>
      </c>
      <c r="E378" s="11" t="str">
        <f>""</f>
        <v/>
      </c>
      <c r="F378" s="11" t="str">
        <f t="shared" si="231"/>
        <v>372418</v>
      </c>
      <c r="G378" s="11" t="str">
        <f t="shared" si="232"/>
        <v>2017toJAN</v>
      </c>
      <c r="H378" s="11" t="str">
        <f t="shared" si="233"/>
        <v>CRSP06B</v>
      </c>
      <c r="I378" s="11" t="str">
        <f t="shared" si="234"/>
        <v>34</v>
      </c>
      <c r="J378" s="11" t="str">
        <f t="shared" si="235"/>
        <v>Creditor</v>
      </c>
      <c r="K378" s="11" t="str">
        <f t="shared" si="245"/>
        <v>CS000551</v>
      </c>
      <c r="L378" s="10" t="str">
        <f t="shared" si="246"/>
        <v>Lyreco UK Ltd</v>
      </c>
      <c r="M378" s="12" t="str">
        <f t="shared" si="236"/>
        <v>27/01/2017 00:00:00</v>
      </c>
      <c r="N378" s="12">
        <v>42762</v>
      </c>
      <c r="O378" s="10" t="str">
        <f t="shared" si="237"/>
        <v>C007779</v>
      </c>
      <c r="P378" s="13">
        <v>3.39</v>
      </c>
      <c r="Q378" s="11" t="str">
        <f>"3.3900"</f>
        <v>3.3900</v>
      </c>
      <c r="R378" s="10" t="str">
        <f t="shared" si="238"/>
        <v>C0004586</v>
      </c>
      <c r="S378" s="14" t="str">
        <f t="shared" si="239"/>
        <v>1213.7800</v>
      </c>
      <c r="T378" s="10">
        <v>21704</v>
      </c>
      <c r="U378" s="10">
        <v>1444</v>
      </c>
      <c r="V378" s="10" t="str">
        <f t="shared" si="247"/>
        <v>Printing Stationery &amp; Off Supp</v>
      </c>
      <c r="W378" s="10" t="str">
        <f t="shared" si="248"/>
        <v>Supplies and Services</v>
      </c>
      <c r="X378" s="10" t="str">
        <f>VLOOKUP(U378,'[1]Account code lookup'!A:B,2,0)</f>
        <v>Stationery</v>
      </c>
      <c r="Z378" s="10" t="str">
        <f t="shared" si="241"/>
        <v>Community Services</v>
      </c>
      <c r="AA378" s="10" t="str">
        <f t="shared" si="242"/>
        <v>Operations and Delivery</v>
      </c>
      <c r="AB378" s="10" t="str">
        <f t="shared" si="243"/>
        <v>5oad</v>
      </c>
      <c r="AD378" s="10" t="str">
        <f t="shared" si="244"/>
        <v>oad01</v>
      </c>
      <c r="AE378" s="10" t="str">
        <f t="shared" si="240"/>
        <v>Finance &amp; Procurement / Head of Finance &amp; Procurement</v>
      </c>
      <c r="AG378" s="10" t="str">
        <f>"21704/1444"</f>
        <v>21704/1444</v>
      </c>
      <c r="AI378" s="10" t="str">
        <f t="shared" si="249"/>
        <v>14suse</v>
      </c>
      <c r="AJ378" s="15" t="str">
        <f>"LYRECO WHITE C5 SELF SEAL PLAIN ENVELOPES 90GSM - BOX OF 500"</f>
        <v>LYRECO WHITE C5 SELF SEAL PLAIN ENVELOPES 90GSM - BOX OF 500</v>
      </c>
      <c r="AK378" s="10" t="str">
        <f t="shared" si="250"/>
        <v>Revenue</v>
      </c>
      <c r="AL378" s="10" t="str">
        <f>""</f>
        <v/>
      </c>
      <c r="AM378" s="10" t="str">
        <f>""</f>
        <v/>
      </c>
      <c r="AN378" s="10" t="str">
        <f>""</f>
        <v/>
      </c>
      <c r="AO378" s="10" t="str">
        <f>""</f>
        <v/>
      </c>
    </row>
    <row r="379" spans="1:41" s="10" customFormat="1" ht="409.6">
      <c r="A379" s="9"/>
      <c r="B379" s="9"/>
      <c r="C379" s="9"/>
      <c r="D379" s="10" t="str">
        <f>"28901"</f>
        <v>28901</v>
      </c>
      <c r="E379" s="11" t="str">
        <f>""</f>
        <v/>
      </c>
      <c r="F379" s="11" t="str">
        <f t="shared" si="231"/>
        <v>372418</v>
      </c>
      <c r="G379" s="11" t="str">
        <f t="shared" si="232"/>
        <v>2017toJAN</v>
      </c>
      <c r="H379" s="11" t="str">
        <f t="shared" si="233"/>
        <v>CRSP06B</v>
      </c>
      <c r="I379" s="11" t="str">
        <f t="shared" si="234"/>
        <v>34</v>
      </c>
      <c r="J379" s="11" t="str">
        <f t="shared" si="235"/>
        <v>Creditor</v>
      </c>
      <c r="K379" s="11" t="str">
        <f t="shared" si="245"/>
        <v>CS000551</v>
      </c>
      <c r="L379" s="10" t="str">
        <f t="shared" si="246"/>
        <v>Lyreco UK Ltd</v>
      </c>
      <c r="M379" s="12" t="str">
        <f t="shared" si="236"/>
        <v>27/01/2017 00:00:00</v>
      </c>
      <c r="N379" s="12">
        <v>42762</v>
      </c>
      <c r="O379" s="10" t="str">
        <f t="shared" si="237"/>
        <v>C007779</v>
      </c>
      <c r="P379" s="13">
        <v>2.9</v>
      </c>
      <c r="Q379" s="11" t="str">
        <f>"2.9000"</f>
        <v>2.9000</v>
      </c>
      <c r="R379" s="10" t="str">
        <f t="shared" si="238"/>
        <v>C0004586</v>
      </c>
      <c r="S379" s="14" t="str">
        <f t="shared" si="239"/>
        <v>1213.7800</v>
      </c>
      <c r="T379" s="10">
        <v>21723</v>
      </c>
      <c r="U379" s="10">
        <v>1444</v>
      </c>
      <c r="V379" s="10" t="str">
        <f t="shared" si="247"/>
        <v>Printing Stationery &amp; Off Supp</v>
      </c>
      <c r="W379" s="10" t="str">
        <f t="shared" si="248"/>
        <v>Supplies and Services</v>
      </c>
      <c r="X379" s="10" t="str">
        <f>VLOOKUP(U379,'[1]Account code lookup'!A:B,2,0)</f>
        <v>Stationery</v>
      </c>
      <c r="Z379" s="10" t="str">
        <f>"Regeneration and Housing"</f>
        <v>Regeneration and Housing</v>
      </c>
      <c r="AA379" s="10" t="str">
        <f t="shared" ref="AA379:AA386" si="251">"Commercial Development"</f>
        <v>Commercial Development</v>
      </c>
      <c r="AB379" s="10" t="str">
        <f t="shared" ref="AB379:AB386" si="252">"2cdb"</f>
        <v>2cdb</v>
      </c>
      <c r="AD379" s="10" t="str">
        <f>"cdb02"</f>
        <v>cdb02</v>
      </c>
      <c r="AE379" s="10" t="str">
        <f t="shared" si="240"/>
        <v>Finance &amp; Procurement / Head of Finance &amp; Procurement</v>
      </c>
      <c r="AG379" s="10" t="str">
        <f>"21723/1444"</f>
        <v>21723/1444</v>
      </c>
      <c r="AI379" s="10" t="str">
        <f t="shared" si="249"/>
        <v>14suse</v>
      </c>
      <c r="AJ379" s="15" t="str">
        <f>"LYRECO A4 RULED MANUSCRIPT BOOK - 96 SHEETS"</f>
        <v>LYRECO A4 RULED MANUSCRIPT BOOK - 96 SHEETS</v>
      </c>
      <c r="AK379" s="10" t="str">
        <f t="shared" si="250"/>
        <v>Revenue</v>
      </c>
      <c r="AL379" s="10" t="str">
        <f>""</f>
        <v/>
      </c>
      <c r="AM379" s="10" t="str">
        <f>""</f>
        <v/>
      </c>
      <c r="AN379" s="10" t="str">
        <f>""</f>
        <v/>
      </c>
      <c r="AO379" s="10" t="str">
        <f>""</f>
        <v/>
      </c>
    </row>
    <row r="380" spans="1:41" s="10" customFormat="1" ht="409.6">
      <c r="A380" s="9"/>
      <c r="B380" s="9"/>
      <c r="C380" s="9"/>
      <c r="D380" s="10" t="str">
        <f>"28902"</f>
        <v>28902</v>
      </c>
      <c r="E380" s="11" t="str">
        <f>""</f>
        <v/>
      </c>
      <c r="F380" s="11" t="str">
        <f t="shared" si="231"/>
        <v>372418</v>
      </c>
      <c r="G380" s="11" t="str">
        <f t="shared" si="232"/>
        <v>2017toJAN</v>
      </c>
      <c r="H380" s="11" t="str">
        <f t="shared" si="233"/>
        <v>CRSP06B</v>
      </c>
      <c r="I380" s="11" t="str">
        <f t="shared" si="234"/>
        <v>34</v>
      </c>
      <c r="J380" s="11" t="str">
        <f t="shared" si="235"/>
        <v>Creditor</v>
      </c>
      <c r="K380" s="11" t="str">
        <f t="shared" si="245"/>
        <v>CS000551</v>
      </c>
      <c r="L380" s="10" t="str">
        <f t="shared" si="246"/>
        <v>Lyreco UK Ltd</v>
      </c>
      <c r="M380" s="12" t="str">
        <f t="shared" si="236"/>
        <v>27/01/2017 00:00:00</v>
      </c>
      <c r="N380" s="12">
        <v>42762</v>
      </c>
      <c r="O380" s="10" t="str">
        <f t="shared" si="237"/>
        <v>C007779</v>
      </c>
      <c r="P380" s="13">
        <v>6.59</v>
      </c>
      <c r="Q380" s="11" t="str">
        <f>"6.5900"</f>
        <v>6.5900</v>
      </c>
      <c r="R380" s="10" t="str">
        <f t="shared" si="238"/>
        <v>C0004586</v>
      </c>
      <c r="S380" s="14" t="str">
        <f t="shared" si="239"/>
        <v>1213.7800</v>
      </c>
      <c r="T380" s="10">
        <v>21730</v>
      </c>
      <c r="U380" s="10">
        <v>1444</v>
      </c>
      <c r="V380" s="10" t="str">
        <f t="shared" si="247"/>
        <v>Printing Stationery &amp; Off Supp</v>
      </c>
      <c r="W380" s="10" t="str">
        <f t="shared" si="248"/>
        <v>Supplies and Services</v>
      </c>
      <c r="X380" s="10" t="str">
        <f>VLOOKUP(U380,'[1]Account code lookup'!A:B,2,0)</f>
        <v>Stationery</v>
      </c>
      <c r="Z380" s="10" t="str">
        <f>"Human Resources"</f>
        <v>Human Resources</v>
      </c>
      <c r="AA380" s="10" t="str">
        <f t="shared" si="251"/>
        <v>Commercial Development</v>
      </c>
      <c r="AB380" s="10" t="str">
        <f t="shared" si="252"/>
        <v>2cdb</v>
      </c>
      <c r="AD380" s="10" t="str">
        <f>"cdb03"</f>
        <v>cdb03</v>
      </c>
      <c r="AE380" s="10" t="str">
        <f t="shared" si="240"/>
        <v>Finance &amp; Procurement / Head of Finance &amp; Procurement</v>
      </c>
      <c r="AG380" s="10" t="str">
        <f>"21730/1444"</f>
        <v>21730/1444</v>
      </c>
      <c r="AI380" s="10" t="str">
        <f t="shared" si="249"/>
        <v>14suse</v>
      </c>
      <c r="AJ380" s="15" t="str">
        <f>"LEGAMASTER 120100 WHITE MAGNETIC WHITEBOARD ERASER"</f>
        <v>LEGAMASTER 120100 WHITE MAGNETIC WHITEBOARD ERASER</v>
      </c>
      <c r="AK380" s="10" t="str">
        <f t="shared" si="250"/>
        <v>Revenue</v>
      </c>
      <c r="AL380" s="10" t="str">
        <f>""</f>
        <v/>
      </c>
      <c r="AM380" s="10" t="str">
        <f>""</f>
        <v/>
      </c>
      <c r="AN380" s="10" t="str">
        <f>""</f>
        <v/>
      </c>
      <c r="AO380" s="10" t="str">
        <f>""</f>
        <v/>
      </c>
    </row>
    <row r="381" spans="1:41" s="10" customFormat="1" ht="409.6">
      <c r="A381" s="9"/>
      <c r="B381" s="9"/>
      <c r="C381" s="9"/>
      <c r="D381" s="10" t="str">
        <f>"28931"</f>
        <v>28931</v>
      </c>
      <c r="E381" s="11" t="str">
        <f>""</f>
        <v/>
      </c>
      <c r="F381" s="11" t="str">
        <f t="shared" si="231"/>
        <v>372418</v>
      </c>
      <c r="G381" s="11" t="str">
        <f t="shared" si="232"/>
        <v>2017toJAN</v>
      </c>
      <c r="H381" s="11" t="str">
        <f t="shared" si="233"/>
        <v>CRSP06B</v>
      </c>
      <c r="I381" s="11" t="str">
        <f t="shared" si="234"/>
        <v>34</v>
      </c>
      <c r="J381" s="11" t="str">
        <f t="shared" si="235"/>
        <v>Creditor</v>
      </c>
      <c r="K381" s="11" t="str">
        <f t="shared" si="245"/>
        <v>CS000551</v>
      </c>
      <c r="L381" s="10" t="str">
        <f t="shared" si="246"/>
        <v>Lyreco UK Ltd</v>
      </c>
      <c r="M381" s="12" t="str">
        <f t="shared" si="236"/>
        <v>27/01/2017 00:00:00</v>
      </c>
      <c r="N381" s="12">
        <v>42762</v>
      </c>
      <c r="O381" s="10" t="str">
        <f t="shared" si="237"/>
        <v>C007779</v>
      </c>
      <c r="P381" s="13">
        <v>7.92</v>
      </c>
      <c r="Q381" s="11" t="str">
        <f>"7.9200"</f>
        <v>7.9200</v>
      </c>
      <c r="R381" s="10" t="str">
        <f t="shared" si="238"/>
        <v>C0004586</v>
      </c>
      <c r="S381" s="14" t="str">
        <f t="shared" si="239"/>
        <v>1213.7800</v>
      </c>
      <c r="T381" s="10">
        <v>21730</v>
      </c>
      <c r="U381" s="10">
        <v>1444</v>
      </c>
      <c r="V381" s="10" t="str">
        <f t="shared" si="247"/>
        <v>Printing Stationery &amp; Off Supp</v>
      </c>
      <c r="W381" s="10" t="str">
        <f t="shared" si="248"/>
        <v>Supplies and Services</v>
      </c>
      <c r="X381" s="10" t="str">
        <f>VLOOKUP(U381,'[1]Account code lookup'!A:B,2,0)</f>
        <v>Stationery</v>
      </c>
      <c r="Z381" s="10" t="str">
        <f>"Human Resources"</f>
        <v>Human Resources</v>
      </c>
      <c r="AA381" s="10" t="str">
        <f t="shared" si="251"/>
        <v>Commercial Development</v>
      </c>
      <c r="AB381" s="10" t="str">
        <f t="shared" si="252"/>
        <v>2cdb</v>
      </c>
      <c r="AD381" s="10" t="str">
        <f>"cdb03"</f>
        <v>cdb03</v>
      </c>
      <c r="AE381" s="10" t="str">
        <f t="shared" si="240"/>
        <v>Finance &amp; Procurement / Head of Finance &amp; Procurement</v>
      </c>
      <c r="AG381" s="10" t="str">
        <f>"21730/1444"</f>
        <v>21730/1444</v>
      </c>
      <c r="AI381" s="10" t="str">
        <f t="shared" si="249"/>
        <v>14suse</v>
      </c>
      <c r="AJ381" s="15" t="str">
        <f>"LYRECO A1 FLIPCHART PADS - PACK OF 5 (5 X 40 SHEETS)"</f>
        <v>LYRECO A1 FLIPCHART PADS - PACK OF 5 (5 X 40 SHEETS)</v>
      </c>
      <c r="AK381" s="10" t="str">
        <f t="shared" si="250"/>
        <v>Revenue</v>
      </c>
      <c r="AL381" s="10" t="str">
        <f>""</f>
        <v/>
      </c>
      <c r="AM381" s="10" t="str">
        <f>""</f>
        <v/>
      </c>
      <c r="AN381" s="10" t="str">
        <f>""</f>
        <v/>
      </c>
      <c r="AO381" s="10" t="str">
        <f>""</f>
        <v/>
      </c>
    </row>
    <row r="382" spans="1:41" s="10" customFormat="1" ht="409.6">
      <c r="A382" s="9"/>
      <c r="B382" s="9"/>
      <c r="C382" s="9"/>
      <c r="D382" s="10" t="str">
        <f>"28932"</f>
        <v>28932</v>
      </c>
      <c r="E382" s="11" t="str">
        <f>""</f>
        <v/>
      </c>
      <c r="F382" s="11" t="str">
        <f t="shared" si="231"/>
        <v>372418</v>
      </c>
      <c r="G382" s="11" t="str">
        <f t="shared" si="232"/>
        <v>2017toJAN</v>
      </c>
      <c r="H382" s="11" t="str">
        <f t="shared" si="233"/>
        <v>CRSP06B</v>
      </c>
      <c r="I382" s="11" t="str">
        <f t="shared" si="234"/>
        <v>34</v>
      </c>
      <c r="J382" s="11" t="str">
        <f t="shared" si="235"/>
        <v>Creditor</v>
      </c>
      <c r="K382" s="11" t="str">
        <f t="shared" si="245"/>
        <v>CS000551</v>
      </c>
      <c r="L382" s="10" t="str">
        <f t="shared" si="246"/>
        <v>Lyreco UK Ltd</v>
      </c>
      <c r="M382" s="12" t="str">
        <f t="shared" si="236"/>
        <v>27/01/2017 00:00:00</v>
      </c>
      <c r="N382" s="12">
        <v>42762</v>
      </c>
      <c r="O382" s="10" t="str">
        <f t="shared" si="237"/>
        <v>C007779</v>
      </c>
      <c r="P382" s="13">
        <v>9</v>
      </c>
      <c r="Q382" s="11" t="str">
        <f>"9.0000"</f>
        <v>9.0000</v>
      </c>
      <c r="R382" s="10" t="str">
        <f t="shared" si="238"/>
        <v>C0004586</v>
      </c>
      <c r="S382" s="14" t="str">
        <f t="shared" si="239"/>
        <v>1213.7800</v>
      </c>
      <c r="T382" s="10">
        <v>21730</v>
      </c>
      <c r="U382" s="10">
        <v>1444</v>
      </c>
      <c r="V382" s="10" t="str">
        <f t="shared" si="247"/>
        <v>Printing Stationery &amp; Off Supp</v>
      </c>
      <c r="W382" s="10" t="str">
        <f t="shared" si="248"/>
        <v>Supplies and Services</v>
      </c>
      <c r="X382" s="10" t="str">
        <f>VLOOKUP(U382,'[1]Account code lookup'!A:B,2,0)</f>
        <v>Stationery</v>
      </c>
      <c r="Z382" s="10" t="str">
        <f>"Human Resources"</f>
        <v>Human Resources</v>
      </c>
      <c r="AA382" s="10" t="str">
        <f t="shared" si="251"/>
        <v>Commercial Development</v>
      </c>
      <c r="AB382" s="10" t="str">
        <f t="shared" si="252"/>
        <v>2cdb</v>
      </c>
      <c r="AD382" s="10" t="str">
        <f>"cdb03"</f>
        <v>cdb03</v>
      </c>
      <c r="AE382" s="10" t="str">
        <f t="shared" si="240"/>
        <v>Finance &amp; Procurement / Head of Finance &amp; Procurement</v>
      </c>
      <c r="AG382" s="10" t="str">
        <f>"21730/1444"</f>
        <v>21730/1444</v>
      </c>
      <c r="AI382" s="10" t="str">
        <f t="shared" si="249"/>
        <v>14suse</v>
      </c>
      <c r="AJ382" s="15" t="str">
        <f>"LYRECO PC BUDS - PACK OF 25"</f>
        <v>LYRECO PC BUDS - PACK OF 25</v>
      </c>
      <c r="AK382" s="10" t="str">
        <f t="shared" si="250"/>
        <v>Revenue</v>
      </c>
      <c r="AL382" s="10" t="str">
        <f>""</f>
        <v/>
      </c>
      <c r="AM382" s="10" t="str">
        <f>""</f>
        <v/>
      </c>
      <c r="AN382" s="10" t="str">
        <f>""</f>
        <v/>
      </c>
      <c r="AO382" s="10" t="str">
        <f>""</f>
        <v/>
      </c>
    </row>
    <row r="383" spans="1:41" s="10" customFormat="1" ht="409.6">
      <c r="A383" s="9"/>
      <c r="B383" s="9"/>
      <c r="C383" s="9"/>
      <c r="D383" s="10" t="str">
        <f>"28933"</f>
        <v>28933</v>
      </c>
      <c r="E383" s="11" t="str">
        <f>""</f>
        <v/>
      </c>
      <c r="F383" s="11" t="str">
        <f t="shared" si="231"/>
        <v>372418</v>
      </c>
      <c r="G383" s="11" t="str">
        <f t="shared" si="232"/>
        <v>2017toJAN</v>
      </c>
      <c r="H383" s="11" t="str">
        <f t="shared" si="233"/>
        <v>CRSP06B</v>
      </c>
      <c r="I383" s="11" t="str">
        <f t="shared" si="234"/>
        <v>34</v>
      </c>
      <c r="J383" s="11" t="str">
        <f t="shared" si="235"/>
        <v>Creditor</v>
      </c>
      <c r="K383" s="11" t="str">
        <f t="shared" si="245"/>
        <v>CS000551</v>
      </c>
      <c r="L383" s="10" t="str">
        <f t="shared" si="246"/>
        <v>Lyreco UK Ltd</v>
      </c>
      <c r="M383" s="12" t="str">
        <f t="shared" si="236"/>
        <v>27/01/2017 00:00:00</v>
      </c>
      <c r="N383" s="12">
        <v>42762</v>
      </c>
      <c r="O383" s="10" t="str">
        <f t="shared" si="237"/>
        <v>C007779</v>
      </c>
      <c r="P383" s="13">
        <v>6.85</v>
      </c>
      <c r="Q383" s="11" t="str">
        <f>"6.8500"</f>
        <v>6.8500</v>
      </c>
      <c r="R383" s="10" t="str">
        <f t="shared" si="238"/>
        <v>C0004586</v>
      </c>
      <c r="S383" s="14" t="str">
        <f t="shared" si="239"/>
        <v>1213.7800</v>
      </c>
      <c r="T383" s="10">
        <v>21733</v>
      </c>
      <c r="U383" s="10">
        <v>1444</v>
      </c>
      <c r="V383" s="10" t="str">
        <f t="shared" si="247"/>
        <v>Printing Stationery &amp; Off Supp</v>
      </c>
      <c r="W383" s="10" t="str">
        <f t="shared" si="248"/>
        <v>Supplies and Services</v>
      </c>
      <c r="X383" s="10" t="str">
        <f>VLOOKUP(U383,'[1]Account code lookup'!A:B,2,0)</f>
        <v>Stationery</v>
      </c>
      <c r="Z383" s="10" t="str">
        <f>"Information Services"</f>
        <v>Information Services</v>
      </c>
      <c r="AA383" s="10" t="str">
        <f t="shared" si="251"/>
        <v>Commercial Development</v>
      </c>
      <c r="AB383" s="10" t="str">
        <f t="shared" si="252"/>
        <v>2cdb</v>
      </c>
      <c r="AD383" s="10" t="str">
        <f>"cdb04"</f>
        <v>cdb04</v>
      </c>
      <c r="AE383" s="10" t="str">
        <f t="shared" si="240"/>
        <v>Finance &amp; Procurement / Head of Finance &amp; Procurement</v>
      </c>
      <c r="AG383" s="10" t="str">
        <f>"21733/1444"</f>
        <v>21733/1444</v>
      </c>
      <c r="AI383" s="10" t="str">
        <f t="shared" si="249"/>
        <v>14suse</v>
      </c>
      <c r="AJ383" s="15" t="str">
        <f>"ELBA ASSORTED COLOUR A4 5 PART DIVIDERS WITH REINFORCED PUNCHED HOLES"</f>
        <v>ELBA ASSORTED COLOUR A4 5 PART DIVIDERS WITH REINFORCED PUNCHED HOLES</v>
      </c>
      <c r="AK383" s="10" t="str">
        <f t="shared" si="250"/>
        <v>Revenue</v>
      </c>
      <c r="AL383" s="10" t="str">
        <f>""</f>
        <v/>
      </c>
      <c r="AM383" s="10" t="str">
        <f>""</f>
        <v/>
      </c>
      <c r="AN383" s="10" t="str">
        <f>""</f>
        <v/>
      </c>
      <c r="AO383" s="10" t="str">
        <f>""</f>
        <v/>
      </c>
    </row>
    <row r="384" spans="1:41" s="10" customFormat="1" ht="409.6">
      <c r="A384" s="9"/>
      <c r="B384" s="9"/>
      <c r="C384" s="9"/>
      <c r="D384" s="10" t="str">
        <f>"29161"</f>
        <v>29161</v>
      </c>
      <c r="E384" s="11" t="str">
        <f>""</f>
        <v/>
      </c>
      <c r="F384" s="11" t="str">
        <f t="shared" si="231"/>
        <v>372418</v>
      </c>
      <c r="G384" s="11" t="str">
        <f t="shared" si="232"/>
        <v>2017toJAN</v>
      </c>
      <c r="H384" s="11" t="str">
        <f t="shared" si="233"/>
        <v>CRSP06B</v>
      </c>
      <c r="I384" s="11" t="str">
        <f t="shared" si="234"/>
        <v>34</v>
      </c>
      <c r="J384" s="11" t="str">
        <f t="shared" si="235"/>
        <v>Creditor</v>
      </c>
      <c r="K384" s="11" t="str">
        <f t="shared" si="245"/>
        <v>CS000551</v>
      </c>
      <c r="L384" s="10" t="str">
        <f t="shared" si="246"/>
        <v>Lyreco UK Ltd</v>
      </c>
      <c r="M384" s="12" t="str">
        <f t="shared" si="236"/>
        <v>27/01/2017 00:00:00</v>
      </c>
      <c r="N384" s="12">
        <v>42762</v>
      </c>
      <c r="O384" s="10" t="str">
        <f t="shared" si="237"/>
        <v>C007779</v>
      </c>
      <c r="P384" s="13">
        <v>14.99</v>
      </c>
      <c r="Q384" s="11" t="str">
        <f>"14.9900"</f>
        <v>14.9900</v>
      </c>
      <c r="R384" s="10" t="str">
        <f t="shared" si="238"/>
        <v>C0004586</v>
      </c>
      <c r="S384" s="14" t="str">
        <f t="shared" si="239"/>
        <v>1213.7800</v>
      </c>
      <c r="T384" s="10">
        <v>21733</v>
      </c>
      <c r="U384" s="10">
        <v>1444</v>
      </c>
      <c r="V384" s="10" t="str">
        <f t="shared" si="247"/>
        <v>Printing Stationery &amp; Off Supp</v>
      </c>
      <c r="W384" s="10" t="str">
        <f t="shared" si="248"/>
        <v>Supplies and Services</v>
      </c>
      <c r="X384" s="10" t="str">
        <f>VLOOKUP(U384,'[1]Account code lookup'!A:B,2,0)</f>
        <v>Stationery</v>
      </c>
      <c r="Z384" s="10" t="str">
        <f>"Information Services"</f>
        <v>Information Services</v>
      </c>
      <c r="AA384" s="10" t="str">
        <f t="shared" si="251"/>
        <v>Commercial Development</v>
      </c>
      <c r="AB384" s="10" t="str">
        <f t="shared" si="252"/>
        <v>2cdb</v>
      </c>
      <c r="AD384" s="10" t="str">
        <f>"cdb04"</f>
        <v>cdb04</v>
      </c>
      <c r="AE384" s="10" t="str">
        <f t="shared" si="240"/>
        <v>Finance &amp; Procurement / Head of Finance &amp; Procurement</v>
      </c>
      <c r="AG384" s="10" t="str">
        <f>"21733/1444"</f>
        <v>21733/1444</v>
      </c>
      <c r="AI384" s="10" t="str">
        <f t="shared" si="249"/>
        <v>14suse</v>
      </c>
      <c r="AJ384" s="15" t="str">
        <f>"GEL MOUSE PAD BLACK"</f>
        <v>GEL MOUSE PAD BLACK</v>
      </c>
      <c r="AK384" s="10" t="str">
        <f t="shared" si="250"/>
        <v>Revenue</v>
      </c>
      <c r="AL384" s="10" t="str">
        <f>""</f>
        <v/>
      </c>
      <c r="AM384" s="10" t="str">
        <f>""</f>
        <v/>
      </c>
      <c r="AN384" s="10" t="str">
        <f>""</f>
        <v/>
      </c>
      <c r="AO384" s="10" t="str">
        <f>""</f>
        <v/>
      </c>
    </row>
    <row r="385" spans="1:41" s="10" customFormat="1" ht="409.6">
      <c r="A385" s="9"/>
      <c r="B385" s="9"/>
      <c r="C385" s="9"/>
      <c r="D385" s="10" t="str">
        <f>"29446"</f>
        <v>29446</v>
      </c>
      <c r="E385" s="11" t="str">
        <f>""</f>
        <v/>
      </c>
      <c r="F385" s="11" t="str">
        <f t="shared" si="231"/>
        <v>372418</v>
      </c>
      <c r="G385" s="11" t="str">
        <f t="shared" si="232"/>
        <v>2017toJAN</v>
      </c>
      <c r="H385" s="11" t="str">
        <f t="shared" si="233"/>
        <v>CRSP06B</v>
      </c>
      <c r="I385" s="11" t="str">
        <f t="shared" si="234"/>
        <v>34</v>
      </c>
      <c r="J385" s="11" t="str">
        <f t="shared" si="235"/>
        <v>Creditor</v>
      </c>
      <c r="K385" s="11" t="str">
        <f t="shared" si="245"/>
        <v>CS000551</v>
      </c>
      <c r="L385" s="10" t="str">
        <f t="shared" si="246"/>
        <v>Lyreco UK Ltd</v>
      </c>
      <c r="M385" s="12" t="str">
        <f t="shared" si="236"/>
        <v>27/01/2017 00:00:00</v>
      </c>
      <c r="N385" s="12">
        <v>42762</v>
      </c>
      <c r="O385" s="10" t="str">
        <f t="shared" si="237"/>
        <v>C007779</v>
      </c>
      <c r="P385" s="13">
        <v>7.97</v>
      </c>
      <c r="Q385" s="11" t="str">
        <f>"7.9700"</f>
        <v>7.9700</v>
      </c>
      <c r="R385" s="10" t="str">
        <f t="shared" si="238"/>
        <v>C0004586</v>
      </c>
      <c r="S385" s="14" t="str">
        <f t="shared" si="239"/>
        <v>1213.7800</v>
      </c>
      <c r="T385" s="10">
        <v>21733</v>
      </c>
      <c r="U385" s="10">
        <v>1444</v>
      </c>
      <c r="V385" s="10" t="str">
        <f t="shared" si="247"/>
        <v>Printing Stationery &amp; Off Supp</v>
      </c>
      <c r="W385" s="10" t="str">
        <f t="shared" si="248"/>
        <v>Supplies and Services</v>
      </c>
      <c r="X385" s="10" t="str">
        <f>VLOOKUP(U385,'[1]Account code lookup'!A:B,2,0)</f>
        <v>Stationery</v>
      </c>
      <c r="Z385" s="10" t="str">
        <f>"Information Services"</f>
        <v>Information Services</v>
      </c>
      <c r="AA385" s="10" t="str">
        <f t="shared" si="251"/>
        <v>Commercial Development</v>
      </c>
      <c r="AB385" s="10" t="str">
        <f t="shared" si="252"/>
        <v>2cdb</v>
      </c>
      <c r="AD385" s="10" t="str">
        <f>"cdb04"</f>
        <v>cdb04</v>
      </c>
      <c r="AE385" s="10" t="str">
        <f t="shared" si="240"/>
        <v>Finance &amp; Procurement / Head of Finance &amp; Procurement</v>
      </c>
      <c r="AG385" s="10" t="str">
        <f>"21733/1444"</f>
        <v>21733/1444</v>
      </c>
      <c r="AI385" s="10" t="str">
        <f t="shared" si="249"/>
        <v>14suse</v>
      </c>
      <c r="AJ385" s="15" t="str">
        <f>"REXEL METEOR BLUE NO.26/6 HALF STRIP STAPLER - 25 SHEET CAPACITY"</f>
        <v>REXEL METEOR BLUE NO.26/6 HALF STRIP STAPLER - 25 SHEET CAPACITY</v>
      </c>
      <c r="AK385" s="10" t="str">
        <f t="shared" si="250"/>
        <v>Revenue</v>
      </c>
      <c r="AL385" s="10" t="str">
        <f>""</f>
        <v/>
      </c>
      <c r="AM385" s="10" t="str">
        <f>""</f>
        <v/>
      </c>
      <c r="AN385" s="10" t="str">
        <f>""</f>
        <v/>
      </c>
      <c r="AO385" s="10" t="str">
        <f>""</f>
        <v/>
      </c>
    </row>
    <row r="386" spans="1:41" s="10" customFormat="1" ht="409.6">
      <c r="A386" s="9"/>
      <c r="B386" s="9"/>
      <c r="C386" s="9"/>
      <c r="D386" s="10" t="str">
        <f>"29447"</f>
        <v>29447</v>
      </c>
      <c r="E386" s="11" t="str">
        <f>""</f>
        <v/>
      </c>
      <c r="F386" s="11" t="str">
        <f t="shared" si="231"/>
        <v>372418</v>
      </c>
      <c r="G386" s="11" t="str">
        <f t="shared" si="232"/>
        <v>2017toJAN</v>
      </c>
      <c r="H386" s="11" t="str">
        <f t="shared" si="233"/>
        <v>CRSP06B</v>
      </c>
      <c r="I386" s="11" t="str">
        <f t="shared" si="234"/>
        <v>34</v>
      </c>
      <c r="J386" s="11" t="str">
        <f t="shared" si="235"/>
        <v>Creditor</v>
      </c>
      <c r="K386" s="11" t="str">
        <f t="shared" si="245"/>
        <v>CS000551</v>
      </c>
      <c r="L386" s="10" t="str">
        <f t="shared" si="246"/>
        <v>Lyreco UK Ltd</v>
      </c>
      <c r="M386" s="12" t="str">
        <f t="shared" si="236"/>
        <v>27/01/2017 00:00:00</v>
      </c>
      <c r="N386" s="12">
        <v>42762</v>
      </c>
      <c r="O386" s="10" t="str">
        <f t="shared" si="237"/>
        <v>C007779</v>
      </c>
      <c r="P386" s="13">
        <v>5.74</v>
      </c>
      <c r="Q386" s="11" t="str">
        <f>"5.7400"</f>
        <v>5.7400</v>
      </c>
      <c r="R386" s="10" t="str">
        <f t="shared" si="238"/>
        <v>C0004586</v>
      </c>
      <c r="S386" s="14" t="str">
        <f t="shared" si="239"/>
        <v>1213.7800</v>
      </c>
      <c r="T386" s="10">
        <v>21733</v>
      </c>
      <c r="U386" s="10">
        <v>1444</v>
      </c>
      <c r="V386" s="10" t="str">
        <f t="shared" si="247"/>
        <v>Printing Stationery &amp; Off Supp</v>
      </c>
      <c r="W386" s="10" t="str">
        <f t="shared" si="248"/>
        <v>Supplies and Services</v>
      </c>
      <c r="X386" s="10" t="str">
        <f>VLOOKUP(U386,'[1]Account code lookup'!A:B,2,0)</f>
        <v>Stationery</v>
      </c>
      <c r="Z386" s="10" t="str">
        <f>"Information Services"</f>
        <v>Information Services</v>
      </c>
      <c r="AA386" s="10" t="str">
        <f t="shared" si="251"/>
        <v>Commercial Development</v>
      </c>
      <c r="AB386" s="10" t="str">
        <f t="shared" si="252"/>
        <v>2cdb</v>
      </c>
      <c r="AD386" s="10" t="str">
        <f>"cdb04"</f>
        <v>cdb04</v>
      </c>
      <c r="AE386" s="10" t="str">
        <f t="shared" si="240"/>
        <v>Finance &amp; Procurement / Head of Finance &amp; Procurement</v>
      </c>
      <c r="AG386" s="10" t="str">
        <f>"21733/1444"</f>
        <v>21733/1444</v>
      </c>
      <c r="AI386" s="10" t="str">
        <f t="shared" si="249"/>
        <v>14suse</v>
      </c>
      <c r="AJ386" s="15" t="str">
        <f>"REXEL NO.26/6 STAPLES - BOX OF 5000"</f>
        <v>REXEL NO.26/6 STAPLES - BOX OF 5000</v>
      </c>
      <c r="AK386" s="10" t="str">
        <f t="shared" si="250"/>
        <v>Revenue</v>
      </c>
      <c r="AL386" s="10" t="str">
        <f>""</f>
        <v/>
      </c>
      <c r="AM386" s="10" t="str">
        <f>""</f>
        <v/>
      </c>
      <c r="AN386" s="10" t="str">
        <f>""</f>
        <v/>
      </c>
      <c r="AO386" s="10" t="str">
        <f>""</f>
        <v/>
      </c>
    </row>
    <row r="387" spans="1:41" s="10" customFormat="1" ht="409.6">
      <c r="A387" s="9"/>
      <c r="B387" s="9"/>
      <c r="C387" s="9"/>
      <c r="D387" s="10" t="str">
        <f>"30974"</f>
        <v>30974</v>
      </c>
      <c r="E387" s="11" t="str">
        <f>""</f>
        <v/>
      </c>
      <c r="F387" s="11" t="str">
        <f t="shared" si="231"/>
        <v>372418</v>
      </c>
      <c r="G387" s="11" t="str">
        <f t="shared" si="232"/>
        <v>2017toJAN</v>
      </c>
      <c r="H387" s="11" t="str">
        <f t="shared" si="233"/>
        <v>CRSP06B</v>
      </c>
      <c r="I387" s="11" t="str">
        <f t="shared" si="234"/>
        <v>34</v>
      </c>
      <c r="J387" s="11" t="str">
        <f t="shared" si="235"/>
        <v>Creditor</v>
      </c>
      <c r="K387" s="11" t="str">
        <f t="shared" si="245"/>
        <v>CS000551</v>
      </c>
      <c r="L387" s="10" t="str">
        <f t="shared" si="246"/>
        <v>Lyreco UK Ltd</v>
      </c>
      <c r="M387" s="12" t="str">
        <f t="shared" si="236"/>
        <v>27/01/2017 00:00:00</v>
      </c>
      <c r="N387" s="12">
        <v>42762</v>
      </c>
      <c r="O387" s="10" t="str">
        <f t="shared" si="237"/>
        <v>C007779</v>
      </c>
      <c r="P387" s="13">
        <v>8.61</v>
      </c>
      <c r="Q387" s="11" t="str">
        <f>"8.6100"</f>
        <v>8.6100</v>
      </c>
      <c r="R387" s="10" t="str">
        <f t="shared" si="238"/>
        <v>C0004586</v>
      </c>
      <c r="S387" s="14" t="str">
        <f t="shared" si="239"/>
        <v>1213.7800</v>
      </c>
      <c r="T387" s="10">
        <v>21747</v>
      </c>
      <c r="U387" s="10">
        <v>1444</v>
      </c>
      <c r="V387" s="10" t="str">
        <f t="shared" si="247"/>
        <v>Printing Stationery &amp; Off Supp</v>
      </c>
      <c r="W387" s="10" t="str">
        <f t="shared" si="248"/>
        <v>Supplies and Services</v>
      </c>
      <c r="X387" s="10" t="str">
        <f>VLOOKUP(U387,'[1]Account code lookup'!A:B,2,0)</f>
        <v>Stationery</v>
      </c>
      <c r="Z387" s="10" t="str">
        <f>"Finance and Procurement"</f>
        <v>Finance and Procurement</v>
      </c>
      <c r="AA387" s="10" t="str">
        <f>"Chief Finance Officer"</f>
        <v>Chief Finance Officer</v>
      </c>
      <c r="AB387" s="10" t="str">
        <f>"3cfo"</f>
        <v>3cfo</v>
      </c>
      <c r="AD387" s="10" t="str">
        <f>"cfo02"</f>
        <v>cfo02</v>
      </c>
      <c r="AE387" s="10" t="str">
        <f t="shared" si="240"/>
        <v>Finance &amp; Procurement / Head of Finance &amp; Procurement</v>
      </c>
      <c r="AG387" s="10" t="str">
        <f>"21747/1444"</f>
        <v>21747/1444</v>
      </c>
      <c r="AI387" s="10" t="str">
        <f t="shared" si="249"/>
        <v>14suse</v>
      </c>
      <c r="AJ387" s="15" t="str">
        <f>"3L ASSORTED INDEX TABS REPOSITIONABLE - PACK OF 48"</f>
        <v>3L ASSORTED INDEX TABS REPOSITIONABLE - PACK OF 48</v>
      </c>
      <c r="AK387" s="10" t="str">
        <f t="shared" si="250"/>
        <v>Revenue</v>
      </c>
      <c r="AL387" s="10" t="str">
        <f>""</f>
        <v/>
      </c>
      <c r="AM387" s="10" t="str">
        <f>""</f>
        <v/>
      </c>
      <c r="AN387" s="10" t="str">
        <f>""</f>
        <v/>
      </c>
      <c r="AO387" s="10" t="str">
        <f>""</f>
        <v/>
      </c>
    </row>
    <row r="388" spans="1:41" s="10" customFormat="1" ht="409.6">
      <c r="A388" s="9"/>
      <c r="B388" s="9"/>
      <c r="C388" s="9"/>
      <c r="D388" s="10" t="str">
        <f>"30975"</f>
        <v>30975</v>
      </c>
      <c r="E388" s="11" t="str">
        <f>""</f>
        <v/>
      </c>
      <c r="F388" s="11" t="str">
        <f t="shared" si="231"/>
        <v>372418</v>
      </c>
      <c r="G388" s="11" t="str">
        <f t="shared" si="232"/>
        <v>2017toJAN</v>
      </c>
      <c r="H388" s="11" t="str">
        <f t="shared" si="233"/>
        <v>CRSP06B</v>
      </c>
      <c r="I388" s="11" t="str">
        <f t="shared" si="234"/>
        <v>34</v>
      </c>
      <c r="J388" s="11" t="str">
        <f t="shared" si="235"/>
        <v>Creditor</v>
      </c>
      <c r="K388" s="11" t="str">
        <f t="shared" si="245"/>
        <v>CS000551</v>
      </c>
      <c r="L388" s="10" t="str">
        <f t="shared" si="246"/>
        <v>Lyreco UK Ltd</v>
      </c>
      <c r="M388" s="12" t="str">
        <f t="shared" si="236"/>
        <v>27/01/2017 00:00:00</v>
      </c>
      <c r="N388" s="12">
        <v>42762</v>
      </c>
      <c r="O388" s="10" t="str">
        <f t="shared" si="237"/>
        <v>C007779</v>
      </c>
      <c r="P388" s="13">
        <v>2.1</v>
      </c>
      <c r="Q388" s="11" t="str">
        <f>"2.1000"</f>
        <v>2.1000</v>
      </c>
      <c r="R388" s="10" t="str">
        <f t="shared" si="238"/>
        <v>C0004586</v>
      </c>
      <c r="S388" s="14" t="str">
        <f t="shared" si="239"/>
        <v>1213.7800</v>
      </c>
      <c r="T388" s="10">
        <v>21747</v>
      </c>
      <c r="U388" s="10">
        <v>1444</v>
      </c>
      <c r="V388" s="10" t="str">
        <f t="shared" si="247"/>
        <v>Printing Stationery &amp; Off Supp</v>
      </c>
      <c r="W388" s="10" t="str">
        <f t="shared" si="248"/>
        <v>Supplies and Services</v>
      </c>
      <c r="X388" s="10" t="str">
        <f>VLOOKUP(U388,'[1]Account code lookup'!A:B,2,0)</f>
        <v>Stationery</v>
      </c>
      <c r="Z388" s="10" t="str">
        <f>"Finance and Procurement"</f>
        <v>Finance and Procurement</v>
      </c>
      <c r="AA388" s="10" t="str">
        <f>"Chief Finance Officer"</f>
        <v>Chief Finance Officer</v>
      </c>
      <c r="AB388" s="10" t="str">
        <f>"3cfo"</f>
        <v>3cfo</v>
      </c>
      <c r="AD388" s="10" t="str">
        <f>"cfo02"</f>
        <v>cfo02</v>
      </c>
      <c r="AE388" s="10" t="str">
        <f t="shared" si="240"/>
        <v>Finance &amp; Procurement / Head of Finance &amp; Procurement</v>
      </c>
      <c r="AG388" s="10" t="str">
        <f>"21747/1444"</f>
        <v>21747/1444</v>
      </c>
      <c r="AI388" s="10" t="str">
        <f t="shared" si="249"/>
        <v>14suse</v>
      </c>
      <c r="AJ388" s="15" t="str">
        <f>"LYRECO BUDGET ASSORTED COLOUR A4 12 PART DIVIDERS 160GSM"</f>
        <v>LYRECO BUDGET ASSORTED COLOUR A4 12 PART DIVIDERS 160GSM</v>
      </c>
      <c r="AK388" s="10" t="str">
        <f t="shared" si="250"/>
        <v>Revenue</v>
      </c>
      <c r="AL388" s="10" t="str">
        <f>""</f>
        <v/>
      </c>
      <c r="AM388" s="10" t="str">
        <f>""</f>
        <v/>
      </c>
      <c r="AN388" s="10" t="str">
        <f>""</f>
        <v/>
      </c>
      <c r="AO388" s="10" t="str">
        <f>""</f>
        <v/>
      </c>
    </row>
    <row r="389" spans="1:41" s="10" customFormat="1" ht="409.6">
      <c r="A389" s="9"/>
      <c r="B389" s="9"/>
      <c r="C389" s="9"/>
      <c r="D389" s="10" t="str">
        <f>"32262"</f>
        <v>32262</v>
      </c>
      <c r="E389" s="11" t="str">
        <f>""</f>
        <v/>
      </c>
      <c r="F389" s="11" t="str">
        <f t="shared" si="231"/>
        <v>372418</v>
      </c>
      <c r="G389" s="11" t="str">
        <f t="shared" si="232"/>
        <v>2017toJAN</v>
      </c>
      <c r="H389" s="11" t="str">
        <f t="shared" si="233"/>
        <v>CRSP06B</v>
      </c>
      <c r="I389" s="11" t="str">
        <f t="shared" si="234"/>
        <v>34</v>
      </c>
      <c r="J389" s="11" t="str">
        <f t="shared" si="235"/>
        <v>Creditor</v>
      </c>
      <c r="K389" s="11" t="str">
        <f t="shared" si="245"/>
        <v>CS000551</v>
      </c>
      <c r="L389" s="10" t="str">
        <f t="shared" si="246"/>
        <v>Lyreco UK Ltd</v>
      </c>
      <c r="M389" s="12" t="str">
        <f t="shared" si="236"/>
        <v>27/01/2017 00:00:00</v>
      </c>
      <c r="N389" s="12">
        <v>42762</v>
      </c>
      <c r="O389" s="10" t="str">
        <f t="shared" si="237"/>
        <v>C007779</v>
      </c>
      <c r="P389" s="13">
        <v>5.76</v>
      </c>
      <c r="Q389" s="11" t="str">
        <f>"5.7600"</f>
        <v>5.7600</v>
      </c>
      <c r="R389" s="10" t="str">
        <f t="shared" si="238"/>
        <v>C0004586</v>
      </c>
      <c r="S389" s="14" t="str">
        <f t="shared" si="239"/>
        <v>1213.7800</v>
      </c>
      <c r="T389" s="10">
        <v>21747</v>
      </c>
      <c r="U389" s="10">
        <v>1444</v>
      </c>
      <c r="V389" s="10" t="str">
        <f t="shared" si="247"/>
        <v>Printing Stationery &amp; Off Supp</v>
      </c>
      <c r="W389" s="10" t="str">
        <f t="shared" si="248"/>
        <v>Supplies and Services</v>
      </c>
      <c r="X389" s="10" t="str">
        <f>VLOOKUP(U389,'[1]Account code lookup'!A:B,2,0)</f>
        <v>Stationery</v>
      </c>
      <c r="Z389" s="10" t="str">
        <f>"Finance and Procurement"</f>
        <v>Finance and Procurement</v>
      </c>
      <c r="AA389" s="10" t="str">
        <f>"Chief Finance Officer"</f>
        <v>Chief Finance Officer</v>
      </c>
      <c r="AB389" s="10" t="str">
        <f>"3cfo"</f>
        <v>3cfo</v>
      </c>
      <c r="AD389" s="10" t="str">
        <f>"cfo02"</f>
        <v>cfo02</v>
      </c>
      <c r="AE389" s="10" t="str">
        <f t="shared" si="240"/>
        <v>Finance &amp; Procurement / Head of Finance &amp; Procurement</v>
      </c>
      <c r="AG389" s="10" t="str">
        <f>"21747/1444"</f>
        <v>21747/1444</v>
      </c>
      <c r="AI389" s="10" t="str">
        <f t="shared" si="249"/>
        <v>14suse</v>
      </c>
      <c r="AJ389" s="15" t="str">
        <f>"LYRECO STAPLES 24/6 - BOX 5000"</f>
        <v>LYRECO STAPLES 24/6 - BOX 5000</v>
      </c>
      <c r="AK389" s="10" t="str">
        <f t="shared" si="250"/>
        <v>Revenue</v>
      </c>
      <c r="AL389" s="10" t="str">
        <f>""</f>
        <v/>
      </c>
      <c r="AM389" s="10" t="str">
        <f>""</f>
        <v/>
      </c>
      <c r="AN389" s="10" t="str">
        <f>""</f>
        <v/>
      </c>
      <c r="AO389" s="10" t="str">
        <f>""</f>
        <v/>
      </c>
    </row>
    <row r="390" spans="1:41" s="10" customFormat="1" ht="409.6">
      <c r="A390" s="9"/>
      <c r="B390" s="9"/>
      <c r="C390" s="9"/>
      <c r="D390" s="10" t="str">
        <f>"32300"</f>
        <v>32300</v>
      </c>
      <c r="E390" s="11" t="str">
        <f>""</f>
        <v/>
      </c>
      <c r="F390" s="11" t="str">
        <f t="shared" si="231"/>
        <v>372418</v>
      </c>
      <c r="G390" s="11" t="str">
        <f t="shared" si="232"/>
        <v>2017toJAN</v>
      </c>
      <c r="H390" s="11" t="str">
        <f t="shared" si="233"/>
        <v>CRSP06B</v>
      </c>
      <c r="I390" s="11" t="str">
        <f t="shared" si="234"/>
        <v>34</v>
      </c>
      <c r="J390" s="11" t="str">
        <f t="shared" si="235"/>
        <v>Creditor</v>
      </c>
      <c r="K390" s="11" t="str">
        <f t="shared" si="245"/>
        <v>CS000551</v>
      </c>
      <c r="L390" s="10" t="str">
        <f t="shared" si="246"/>
        <v>Lyreco UK Ltd</v>
      </c>
      <c r="M390" s="12" t="str">
        <f t="shared" si="236"/>
        <v>27/01/2017 00:00:00</v>
      </c>
      <c r="N390" s="12">
        <v>42762</v>
      </c>
      <c r="O390" s="10" t="str">
        <f t="shared" si="237"/>
        <v>C007779</v>
      </c>
      <c r="P390" s="13">
        <v>6</v>
      </c>
      <c r="Q390" s="11" t="str">
        <f>"6.0000"</f>
        <v>6.0000</v>
      </c>
      <c r="R390" s="10" t="str">
        <f t="shared" si="238"/>
        <v>C0004586</v>
      </c>
      <c r="S390" s="14" t="str">
        <f t="shared" si="239"/>
        <v>1213.7800</v>
      </c>
      <c r="T390" s="10">
        <v>21747</v>
      </c>
      <c r="U390" s="10">
        <v>1444</v>
      </c>
      <c r="V390" s="10" t="str">
        <f t="shared" si="247"/>
        <v>Printing Stationery &amp; Off Supp</v>
      </c>
      <c r="W390" s="10" t="str">
        <f t="shared" si="248"/>
        <v>Supplies and Services</v>
      </c>
      <c r="X390" s="10" t="str">
        <f>VLOOKUP(U390,'[1]Account code lookup'!A:B,2,0)</f>
        <v>Stationery</v>
      </c>
      <c r="Z390" s="10" t="str">
        <f>"Finance and Procurement"</f>
        <v>Finance and Procurement</v>
      </c>
      <c r="AA390" s="10" t="str">
        <f>"Chief Finance Officer"</f>
        <v>Chief Finance Officer</v>
      </c>
      <c r="AB390" s="10" t="str">
        <f>"3cfo"</f>
        <v>3cfo</v>
      </c>
      <c r="AD390" s="10" t="str">
        <f>"cfo02"</f>
        <v>cfo02</v>
      </c>
      <c r="AE390" s="10" t="str">
        <f t="shared" si="240"/>
        <v>Finance &amp; Procurement / Head of Finance &amp; Procurement</v>
      </c>
      <c r="AG390" s="10" t="str">
        <f>"21747/1444"</f>
        <v>21747/1444</v>
      </c>
      <c r="AI390" s="10" t="str">
        <f t="shared" si="249"/>
        <v>14suse</v>
      </c>
      <c r="AJ390" s="15" t="str">
        <f>"PUKKA WHITE A4 WIREBOUND PADS (RULED/MARGIN) - PACK OF 5 (5 X 100 SHEETS)"</f>
        <v>PUKKA WHITE A4 WIREBOUND PADS (RULED/MARGIN) - PACK OF 5 (5 X 100 SHEETS)</v>
      </c>
      <c r="AK390" s="10" t="str">
        <f t="shared" si="250"/>
        <v>Revenue</v>
      </c>
      <c r="AL390" s="10" t="str">
        <f>""</f>
        <v/>
      </c>
      <c r="AM390" s="10" t="str">
        <f>""</f>
        <v/>
      </c>
      <c r="AN390" s="10" t="str">
        <f>""</f>
        <v/>
      </c>
      <c r="AO390" s="10" t="str">
        <f>""</f>
        <v/>
      </c>
    </row>
    <row r="391" spans="1:41" s="10" customFormat="1" ht="409.6">
      <c r="A391" s="9"/>
      <c r="B391" s="9"/>
      <c r="C391" s="9"/>
      <c r="D391" s="10" t="str">
        <f>"32388"</f>
        <v>32388</v>
      </c>
      <c r="E391" s="11" t="str">
        <f>""</f>
        <v/>
      </c>
      <c r="F391" s="11" t="str">
        <f t="shared" si="231"/>
        <v>372418</v>
      </c>
      <c r="G391" s="11" t="str">
        <f t="shared" si="232"/>
        <v>2017toJAN</v>
      </c>
      <c r="H391" s="11" t="str">
        <f t="shared" si="233"/>
        <v>CRSP06B</v>
      </c>
      <c r="I391" s="11" t="str">
        <f t="shared" si="234"/>
        <v>34</v>
      </c>
      <c r="J391" s="11" t="str">
        <f t="shared" si="235"/>
        <v>Creditor</v>
      </c>
      <c r="K391" s="11" t="str">
        <f t="shared" si="245"/>
        <v>CS000551</v>
      </c>
      <c r="L391" s="10" t="str">
        <f t="shared" si="246"/>
        <v>Lyreco UK Ltd</v>
      </c>
      <c r="M391" s="12" t="str">
        <f t="shared" si="236"/>
        <v>27/01/2017 00:00:00</v>
      </c>
      <c r="N391" s="12">
        <v>42762</v>
      </c>
      <c r="O391" s="10" t="str">
        <f t="shared" si="237"/>
        <v>C007779</v>
      </c>
      <c r="P391" s="13">
        <v>1.97</v>
      </c>
      <c r="Q391" s="11" t="str">
        <f>"1.9700"</f>
        <v>1.9700</v>
      </c>
      <c r="R391" s="10" t="str">
        <f t="shared" si="238"/>
        <v>C0004586</v>
      </c>
      <c r="S391" s="14" t="str">
        <f t="shared" si="239"/>
        <v>1213.7800</v>
      </c>
      <c r="T391" s="10">
        <v>21754</v>
      </c>
      <c r="U391" s="10">
        <v>1444</v>
      </c>
      <c r="V391" s="10" t="str">
        <f t="shared" si="247"/>
        <v>Printing Stationery &amp; Off Supp</v>
      </c>
      <c r="W391" s="10" t="str">
        <f t="shared" si="248"/>
        <v>Supplies and Services</v>
      </c>
      <c r="X391" s="10" t="str">
        <f>VLOOKUP(U391,'[1]Account code lookup'!A:B,2,0)</f>
        <v>Stationery</v>
      </c>
      <c r="Z391" s="10" t="str">
        <f t="shared" ref="Z391:Z397" si="253">"Law and Governance"</f>
        <v>Law and Governance</v>
      </c>
      <c r="AA391" s="10" t="str">
        <f t="shared" ref="AA391:AA397" si="254">"Strategy and Commissioning"</f>
        <v>Strategy and Commissioning</v>
      </c>
      <c r="AB391" s="10" t="str">
        <f t="shared" ref="AB391:AB397" si="255">"4sac"</f>
        <v>4sac</v>
      </c>
      <c r="AD391" s="10" t="str">
        <f t="shared" ref="AD391:AD397" si="256">"sac07"</f>
        <v>sac07</v>
      </c>
      <c r="AE391" s="10" t="str">
        <f t="shared" si="240"/>
        <v>Finance &amp; Procurement / Head of Finance &amp; Procurement</v>
      </c>
      <c r="AG391" s="10" t="str">
        <f t="shared" ref="AG391:AG396" si="257">"21754/1444"</f>
        <v>21754/1444</v>
      </c>
      <c r="AI391" s="10" t="str">
        <f t="shared" si="249"/>
        <v>14suse</v>
      </c>
      <c r="AJ391" s="15" t="str">
        <f>"FOLD-BACK PAPER CLIPS BLACK 19MM - PACK OF 12"</f>
        <v>FOLD-BACK PAPER CLIPS BLACK 19MM - PACK OF 12</v>
      </c>
      <c r="AK391" s="10" t="str">
        <f t="shared" si="250"/>
        <v>Revenue</v>
      </c>
      <c r="AL391" s="10" t="str">
        <f>""</f>
        <v/>
      </c>
      <c r="AM391" s="10" t="str">
        <f>""</f>
        <v/>
      </c>
      <c r="AN391" s="10" t="str">
        <f>""</f>
        <v/>
      </c>
      <c r="AO391" s="10" t="str">
        <f>""</f>
        <v/>
      </c>
    </row>
    <row r="392" spans="1:41" s="10" customFormat="1" ht="409.6">
      <c r="A392" s="9"/>
      <c r="B392" s="9"/>
      <c r="C392" s="9"/>
      <c r="D392" s="10" t="str">
        <f>"32389"</f>
        <v>32389</v>
      </c>
      <c r="E392" s="11" t="str">
        <f>""</f>
        <v/>
      </c>
      <c r="F392" s="11" t="str">
        <f t="shared" si="231"/>
        <v>372418</v>
      </c>
      <c r="G392" s="11" t="str">
        <f t="shared" si="232"/>
        <v>2017toJAN</v>
      </c>
      <c r="H392" s="11" t="str">
        <f t="shared" si="233"/>
        <v>CRSP06B</v>
      </c>
      <c r="I392" s="11" t="str">
        <f t="shared" si="234"/>
        <v>34</v>
      </c>
      <c r="J392" s="11" t="str">
        <f t="shared" si="235"/>
        <v>Creditor</v>
      </c>
      <c r="K392" s="11" t="str">
        <f t="shared" si="245"/>
        <v>CS000551</v>
      </c>
      <c r="L392" s="10" t="str">
        <f t="shared" si="246"/>
        <v>Lyreco UK Ltd</v>
      </c>
      <c r="M392" s="12" t="str">
        <f t="shared" si="236"/>
        <v>27/01/2017 00:00:00</v>
      </c>
      <c r="N392" s="12">
        <v>42762</v>
      </c>
      <c r="O392" s="10" t="str">
        <f t="shared" si="237"/>
        <v>C007779</v>
      </c>
      <c r="P392" s="13">
        <v>0.52</v>
      </c>
      <c r="Q392" s="11" t="str">
        <f>"0.5200"</f>
        <v>0.5200</v>
      </c>
      <c r="R392" s="10" t="str">
        <f t="shared" si="238"/>
        <v>C0004586</v>
      </c>
      <c r="S392" s="14" t="str">
        <f t="shared" si="239"/>
        <v>1213.7800</v>
      </c>
      <c r="T392" s="10">
        <v>21754</v>
      </c>
      <c r="U392" s="10">
        <v>1444</v>
      </c>
      <c r="V392" s="10" t="str">
        <f t="shared" si="247"/>
        <v>Printing Stationery &amp; Off Supp</v>
      </c>
      <c r="W392" s="10" t="str">
        <f t="shared" si="248"/>
        <v>Supplies and Services</v>
      </c>
      <c r="X392" s="10" t="str">
        <f>VLOOKUP(U392,'[1]Account code lookup'!A:B,2,0)</f>
        <v>Stationery</v>
      </c>
      <c r="Z392" s="10" t="str">
        <f t="shared" si="253"/>
        <v>Law and Governance</v>
      </c>
      <c r="AA392" s="10" t="str">
        <f t="shared" si="254"/>
        <v>Strategy and Commissioning</v>
      </c>
      <c r="AB392" s="10" t="str">
        <f t="shared" si="255"/>
        <v>4sac</v>
      </c>
      <c r="AD392" s="10" t="str">
        <f t="shared" si="256"/>
        <v>sac07</v>
      </c>
      <c r="AE392" s="10" t="str">
        <f t="shared" si="240"/>
        <v>Finance &amp; Procurement / Head of Finance &amp; Procurement</v>
      </c>
      <c r="AG392" s="10" t="str">
        <f t="shared" si="257"/>
        <v>21754/1444</v>
      </c>
      <c r="AI392" s="10" t="str">
        <f t="shared" si="249"/>
        <v>14suse</v>
      </c>
      <c r="AJ392" s="15" t="str">
        <f>"LYRECO FILM INDEX - 4 ASSORTED COLOURS"</f>
        <v>LYRECO FILM INDEX - 4 ASSORTED COLOURS</v>
      </c>
      <c r="AK392" s="10" t="str">
        <f t="shared" si="250"/>
        <v>Revenue</v>
      </c>
      <c r="AL392" s="10" t="str">
        <f>""</f>
        <v/>
      </c>
      <c r="AM392" s="10" t="str">
        <f>""</f>
        <v/>
      </c>
      <c r="AN392" s="10" t="str">
        <f>""</f>
        <v/>
      </c>
      <c r="AO392" s="10" t="str">
        <f>""</f>
        <v/>
      </c>
    </row>
    <row r="393" spans="1:41" s="10" customFormat="1" ht="409.6">
      <c r="A393" s="9"/>
      <c r="B393" s="9"/>
      <c r="C393" s="9"/>
      <c r="D393" s="10" t="str">
        <f>"32476"</f>
        <v>32476</v>
      </c>
      <c r="E393" s="11" t="str">
        <f>""</f>
        <v/>
      </c>
      <c r="F393" s="11" t="str">
        <f t="shared" si="231"/>
        <v>372418</v>
      </c>
      <c r="G393" s="11" t="str">
        <f t="shared" si="232"/>
        <v>2017toJAN</v>
      </c>
      <c r="H393" s="11" t="str">
        <f t="shared" si="233"/>
        <v>CRSP06B</v>
      </c>
      <c r="I393" s="11" t="str">
        <f t="shared" si="234"/>
        <v>34</v>
      </c>
      <c r="J393" s="11" t="str">
        <f t="shared" si="235"/>
        <v>Creditor</v>
      </c>
      <c r="K393" s="11" t="str">
        <f t="shared" si="245"/>
        <v>CS000551</v>
      </c>
      <c r="L393" s="10" t="str">
        <f t="shared" si="246"/>
        <v>Lyreco UK Ltd</v>
      </c>
      <c r="M393" s="12" t="str">
        <f t="shared" si="236"/>
        <v>27/01/2017 00:00:00</v>
      </c>
      <c r="N393" s="12">
        <v>42762</v>
      </c>
      <c r="O393" s="10" t="str">
        <f t="shared" si="237"/>
        <v>C007779</v>
      </c>
      <c r="P393" s="13">
        <v>0.52</v>
      </c>
      <c r="Q393" s="11" t="str">
        <f>"0.5200"</f>
        <v>0.5200</v>
      </c>
      <c r="R393" s="10" t="str">
        <f t="shared" si="238"/>
        <v>C0004586</v>
      </c>
      <c r="S393" s="14" t="str">
        <f t="shared" si="239"/>
        <v>1213.7800</v>
      </c>
      <c r="T393" s="10">
        <v>21754</v>
      </c>
      <c r="U393" s="10">
        <v>1444</v>
      </c>
      <c r="V393" s="10" t="str">
        <f t="shared" si="247"/>
        <v>Printing Stationery &amp; Off Supp</v>
      </c>
      <c r="W393" s="10" t="str">
        <f t="shared" si="248"/>
        <v>Supplies and Services</v>
      </c>
      <c r="X393" s="10" t="str">
        <f>VLOOKUP(U393,'[1]Account code lookup'!A:B,2,0)</f>
        <v>Stationery</v>
      </c>
      <c r="Z393" s="10" t="str">
        <f t="shared" si="253"/>
        <v>Law and Governance</v>
      </c>
      <c r="AA393" s="10" t="str">
        <f t="shared" si="254"/>
        <v>Strategy and Commissioning</v>
      </c>
      <c r="AB393" s="10" t="str">
        <f t="shared" si="255"/>
        <v>4sac</v>
      </c>
      <c r="AD393" s="10" t="str">
        <f t="shared" si="256"/>
        <v>sac07</v>
      </c>
      <c r="AE393" s="10" t="str">
        <f t="shared" si="240"/>
        <v>Finance &amp; Procurement / Head of Finance &amp; Procurement</v>
      </c>
      <c r="AG393" s="10" t="str">
        <f t="shared" si="257"/>
        <v>21754/1444</v>
      </c>
      <c r="AI393" s="10" t="str">
        <f t="shared" si="249"/>
        <v>14suse</v>
      </c>
      <c r="AJ393" s="15" t="str">
        <f>"LYRECO FILM INDEX - 4 ASSORTED COLOURS"</f>
        <v>LYRECO FILM INDEX - 4 ASSORTED COLOURS</v>
      </c>
      <c r="AK393" s="10" t="str">
        <f t="shared" si="250"/>
        <v>Revenue</v>
      </c>
      <c r="AL393" s="10" t="str">
        <f>""</f>
        <v/>
      </c>
      <c r="AM393" s="10" t="str">
        <f>""</f>
        <v/>
      </c>
      <c r="AN393" s="10" t="str">
        <f>""</f>
        <v/>
      </c>
      <c r="AO393" s="10" t="str">
        <f>""</f>
        <v/>
      </c>
    </row>
    <row r="394" spans="1:41" s="10" customFormat="1" ht="409.6">
      <c r="A394" s="9"/>
      <c r="B394" s="9"/>
      <c r="C394" s="9"/>
      <c r="D394" s="10" t="str">
        <f>"32815"</f>
        <v>32815</v>
      </c>
      <c r="E394" s="11" t="str">
        <f>""</f>
        <v/>
      </c>
      <c r="F394" s="11" t="str">
        <f t="shared" si="231"/>
        <v>372418</v>
      </c>
      <c r="G394" s="11" t="str">
        <f t="shared" si="232"/>
        <v>2017toJAN</v>
      </c>
      <c r="H394" s="11" t="str">
        <f t="shared" si="233"/>
        <v>CRSP06B</v>
      </c>
      <c r="I394" s="11" t="str">
        <f t="shared" si="234"/>
        <v>34</v>
      </c>
      <c r="J394" s="11" t="str">
        <f t="shared" si="235"/>
        <v>Creditor</v>
      </c>
      <c r="K394" s="11" t="str">
        <f t="shared" si="245"/>
        <v>CS000551</v>
      </c>
      <c r="L394" s="10" t="str">
        <f t="shared" si="246"/>
        <v>Lyreco UK Ltd</v>
      </c>
      <c r="M394" s="12" t="str">
        <f t="shared" si="236"/>
        <v>27/01/2017 00:00:00</v>
      </c>
      <c r="N394" s="12">
        <v>42762</v>
      </c>
      <c r="O394" s="10" t="str">
        <f t="shared" si="237"/>
        <v>C007779</v>
      </c>
      <c r="P394" s="13">
        <v>0.12</v>
      </c>
      <c r="Q394" s="11" t="str">
        <f>"0.1200"</f>
        <v>0.1200</v>
      </c>
      <c r="R394" s="10" t="str">
        <f t="shared" si="238"/>
        <v>C0004586</v>
      </c>
      <c r="S394" s="14" t="str">
        <f t="shared" si="239"/>
        <v>1213.7800</v>
      </c>
      <c r="T394" s="10">
        <v>21754</v>
      </c>
      <c r="U394" s="10">
        <v>1444</v>
      </c>
      <c r="V394" s="10" t="str">
        <f t="shared" si="247"/>
        <v>Printing Stationery &amp; Off Supp</v>
      </c>
      <c r="W394" s="10" t="str">
        <f t="shared" si="248"/>
        <v>Supplies and Services</v>
      </c>
      <c r="X394" s="10" t="str">
        <f>VLOOKUP(U394,'[1]Account code lookup'!A:B,2,0)</f>
        <v>Stationery</v>
      </c>
      <c r="Z394" s="10" t="str">
        <f t="shared" si="253"/>
        <v>Law and Governance</v>
      </c>
      <c r="AA394" s="10" t="str">
        <f t="shared" si="254"/>
        <v>Strategy and Commissioning</v>
      </c>
      <c r="AB394" s="10" t="str">
        <f t="shared" si="255"/>
        <v>4sac</v>
      </c>
      <c r="AD394" s="10" t="str">
        <f t="shared" si="256"/>
        <v>sac07</v>
      </c>
      <c r="AE394" s="10" t="str">
        <f t="shared" si="240"/>
        <v>Finance &amp; Procurement / Head of Finance &amp; Procurement</v>
      </c>
      <c r="AG394" s="10" t="str">
        <f t="shared" si="257"/>
        <v>21754/1444</v>
      </c>
      <c r="AI394" s="10" t="str">
        <f t="shared" si="249"/>
        <v>14suse</v>
      </c>
      <c r="AJ394" s="15" t="str">
        <f>"LYRECO STAPLE REMOVER BLACK"</f>
        <v>LYRECO STAPLE REMOVER BLACK</v>
      </c>
      <c r="AK394" s="10" t="str">
        <f t="shared" si="250"/>
        <v>Revenue</v>
      </c>
      <c r="AL394" s="10" t="str">
        <f>""</f>
        <v/>
      </c>
      <c r="AM394" s="10" t="str">
        <f>""</f>
        <v/>
      </c>
      <c r="AN394" s="10" t="str">
        <f>""</f>
        <v/>
      </c>
      <c r="AO394" s="10" t="str">
        <f>""</f>
        <v/>
      </c>
    </row>
    <row r="395" spans="1:41" s="10" customFormat="1" ht="409.6">
      <c r="A395" s="9"/>
      <c r="B395" s="9"/>
      <c r="C395" s="9"/>
      <c r="D395" s="10" t="str">
        <f>"33171"</f>
        <v>33171</v>
      </c>
      <c r="E395" s="11" t="str">
        <f>""</f>
        <v/>
      </c>
      <c r="F395" s="11" t="str">
        <f t="shared" si="231"/>
        <v>372418</v>
      </c>
      <c r="G395" s="11" t="str">
        <f t="shared" si="232"/>
        <v>2017toJAN</v>
      </c>
      <c r="H395" s="11" t="str">
        <f t="shared" si="233"/>
        <v>CRSP06B</v>
      </c>
      <c r="I395" s="11" t="str">
        <f t="shared" si="234"/>
        <v>34</v>
      </c>
      <c r="J395" s="11" t="str">
        <f t="shared" si="235"/>
        <v>Creditor</v>
      </c>
      <c r="K395" s="11" t="str">
        <f t="shared" si="245"/>
        <v>CS000551</v>
      </c>
      <c r="L395" s="10" t="str">
        <f t="shared" si="246"/>
        <v>Lyreco UK Ltd</v>
      </c>
      <c r="M395" s="12" t="str">
        <f t="shared" si="236"/>
        <v>27/01/2017 00:00:00</v>
      </c>
      <c r="N395" s="12">
        <v>42762</v>
      </c>
      <c r="O395" s="10" t="str">
        <f t="shared" si="237"/>
        <v>C007779</v>
      </c>
      <c r="P395" s="13">
        <v>5.74</v>
      </c>
      <c r="Q395" s="11" t="str">
        <f>"5.7400"</f>
        <v>5.7400</v>
      </c>
      <c r="R395" s="10" t="str">
        <f t="shared" si="238"/>
        <v>C0004586</v>
      </c>
      <c r="S395" s="14" t="str">
        <f t="shared" si="239"/>
        <v>1213.7800</v>
      </c>
      <c r="T395" s="10">
        <v>21754</v>
      </c>
      <c r="U395" s="10">
        <v>1444</v>
      </c>
      <c r="V395" s="10" t="str">
        <f t="shared" si="247"/>
        <v>Printing Stationery &amp; Off Supp</v>
      </c>
      <c r="W395" s="10" t="str">
        <f t="shared" si="248"/>
        <v>Supplies and Services</v>
      </c>
      <c r="X395" s="10" t="str">
        <f>VLOOKUP(U395,'[1]Account code lookup'!A:B,2,0)</f>
        <v>Stationery</v>
      </c>
      <c r="Z395" s="10" t="str">
        <f t="shared" si="253"/>
        <v>Law and Governance</v>
      </c>
      <c r="AA395" s="10" t="str">
        <f t="shared" si="254"/>
        <v>Strategy and Commissioning</v>
      </c>
      <c r="AB395" s="10" t="str">
        <f t="shared" si="255"/>
        <v>4sac</v>
      </c>
      <c r="AD395" s="10" t="str">
        <f t="shared" si="256"/>
        <v>sac07</v>
      </c>
      <c r="AE395" s="10" t="str">
        <f t="shared" si="240"/>
        <v>Finance &amp; Procurement / Head of Finance &amp; Procurement</v>
      </c>
      <c r="AG395" s="10" t="str">
        <f t="shared" si="257"/>
        <v>21754/1444</v>
      </c>
      <c r="AI395" s="10" t="str">
        <f t="shared" si="249"/>
        <v>14suse</v>
      </c>
      <c r="AJ395" s="15" t="str">
        <f>"METAL-ENDED TREASURY TAGS 51MM - PACK OF 100"</f>
        <v>METAL-ENDED TREASURY TAGS 51MM - PACK OF 100</v>
      </c>
      <c r="AK395" s="10" t="str">
        <f t="shared" si="250"/>
        <v>Revenue</v>
      </c>
      <c r="AL395" s="10" t="str">
        <f>""</f>
        <v/>
      </c>
      <c r="AM395" s="10" t="str">
        <f>""</f>
        <v/>
      </c>
      <c r="AN395" s="10" t="str">
        <f>""</f>
        <v/>
      </c>
      <c r="AO395" s="10" t="str">
        <f>""</f>
        <v/>
      </c>
    </row>
    <row r="396" spans="1:41" s="10" customFormat="1" ht="409.6">
      <c r="A396" s="9"/>
      <c r="B396" s="9"/>
      <c r="C396" s="9"/>
      <c r="D396" s="10" t="str">
        <f>"33532"</f>
        <v>33532</v>
      </c>
      <c r="E396" s="11" t="str">
        <f>""</f>
        <v/>
      </c>
      <c r="F396" s="11" t="str">
        <f t="shared" si="231"/>
        <v>372418</v>
      </c>
      <c r="G396" s="11" t="str">
        <f t="shared" si="232"/>
        <v>2017toJAN</v>
      </c>
      <c r="H396" s="11" t="str">
        <f t="shared" si="233"/>
        <v>CRSP06B</v>
      </c>
      <c r="I396" s="11" t="str">
        <f t="shared" si="234"/>
        <v>34</v>
      </c>
      <c r="J396" s="11" t="str">
        <f t="shared" si="235"/>
        <v>Creditor</v>
      </c>
      <c r="K396" s="11" t="str">
        <f t="shared" si="245"/>
        <v>CS000551</v>
      </c>
      <c r="L396" s="10" t="str">
        <f t="shared" si="246"/>
        <v>Lyreco UK Ltd</v>
      </c>
      <c r="M396" s="12" t="str">
        <f t="shared" si="236"/>
        <v>27/01/2017 00:00:00</v>
      </c>
      <c r="N396" s="12">
        <v>42762</v>
      </c>
      <c r="O396" s="10" t="str">
        <f t="shared" si="237"/>
        <v>C007779</v>
      </c>
      <c r="P396" s="13">
        <v>0.11</v>
      </c>
      <c r="Q396" s="11" t="str">
        <f>"0.1100"</f>
        <v>0.1100</v>
      </c>
      <c r="R396" s="10" t="str">
        <f t="shared" si="238"/>
        <v>C0004586</v>
      </c>
      <c r="S396" s="14" t="str">
        <f t="shared" si="239"/>
        <v>1213.7800</v>
      </c>
      <c r="T396" s="10">
        <v>21754</v>
      </c>
      <c r="U396" s="10">
        <v>1444</v>
      </c>
      <c r="V396" s="10" t="str">
        <f t="shared" si="247"/>
        <v>Printing Stationery &amp; Off Supp</v>
      </c>
      <c r="W396" s="10" t="str">
        <f t="shared" si="248"/>
        <v>Supplies and Services</v>
      </c>
      <c r="X396" s="10" t="str">
        <f>VLOOKUP(U396,'[1]Account code lookup'!A:B,2,0)</f>
        <v>Stationery</v>
      </c>
      <c r="Z396" s="10" t="str">
        <f t="shared" si="253"/>
        <v>Law and Governance</v>
      </c>
      <c r="AA396" s="10" t="str">
        <f t="shared" si="254"/>
        <v>Strategy and Commissioning</v>
      </c>
      <c r="AB396" s="10" t="str">
        <f t="shared" si="255"/>
        <v>4sac</v>
      </c>
      <c r="AD396" s="10" t="str">
        <f t="shared" si="256"/>
        <v>sac07</v>
      </c>
      <c r="AE396" s="10" t="str">
        <f t="shared" si="240"/>
        <v>Finance &amp; Procurement / Head of Finance &amp; Procurement</v>
      </c>
      <c r="AG396" s="10" t="str">
        <f t="shared" si="257"/>
        <v>21754/1444</v>
      </c>
      <c r="AI396" s="10" t="str">
        <f t="shared" si="249"/>
        <v>14suse</v>
      </c>
      <c r="AJ396" s="15" t="str">
        <f>"SHATTERPROOF RULER 30CM / 12 INCHES CLEAR"</f>
        <v>SHATTERPROOF RULER 30CM / 12 INCHES CLEAR</v>
      </c>
      <c r="AK396" s="10" t="str">
        <f t="shared" si="250"/>
        <v>Revenue</v>
      </c>
      <c r="AL396" s="10" t="str">
        <f>""</f>
        <v/>
      </c>
      <c r="AM396" s="10" t="str">
        <f>""</f>
        <v/>
      </c>
      <c r="AN396" s="10" t="str">
        <f>""</f>
        <v/>
      </c>
      <c r="AO396" s="10" t="str">
        <f>""</f>
        <v/>
      </c>
    </row>
    <row r="397" spans="1:41" s="10" customFormat="1" ht="409.6">
      <c r="A397" s="9"/>
      <c r="B397" s="9"/>
      <c r="C397" s="9"/>
      <c r="D397" s="10" t="str">
        <f>"33886"</f>
        <v>33886</v>
      </c>
      <c r="E397" s="11" t="str">
        <f>""</f>
        <v/>
      </c>
      <c r="F397" s="11" t="str">
        <f t="shared" si="231"/>
        <v>372418</v>
      </c>
      <c r="G397" s="11" t="str">
        <f t="shared" si="232"/>
        <v>2017toJAN</v>
      </c>
      <c r="H397" s="11" t="str">
        <f t="shared" si="233"/>
        <v>CRSP06B</v>
      </c>
      <c r="I397" s="11" t="str">
        <f t="shared" si="234"/>
        <v>34</v>
      </c>
      <c r="J397" s="11" t="str">
        <f t="shared" si="235"/>
        <v>Creditor</v>
      </c>
      <c r="K397" s="11" t="str">
        <f t="shared" si="245"/>
        <v>CS000551</v>
      </c>
      <c r="L397" s="10" t="str">
        <f t="shared" si="246"/>
        <v>Lyreco UK Ltd</v>
      </c>
      <c r="M397" s="12" t="str">
        <f t="shared" si="236"/>
        <v>27/01/2017 00:00:00</v>
      </c>
      <c r="N397" s="12">
        <v>42762</v>
      </c>
      <c r="O397" s="10" t="str">
        <f t="shared" si="237"/>
        <v>C007779</v>
      </c>
      <c r="P397" s="13">
        <v>5.74</v>
      </c>
      <c r="Q397" s="11" t="str">
        <f>"5.7400"</f>
        <v>5.7400</v>
      </c>
      <c r="R397" s="10" t="str">
        <f t="shared" si="238"/>
        <v>C0004586</v>
      </c>
      <c r="S397" s="14" t="str">
        <f t="shared" si="239"/>
        <v>1213.7800</v>
      </c>
      <c r="T397" s="10">
        <v>22010</v>
      </c>
      <c r="U397" s="10">
        <v>1444</v>
      </c>
      <c r="V397" s="10" t="str">
        <f t="shared" si="247"/>
        <v>Printing Stationery &amp; Off Supp</v>
      </c>
      <c r="W397" s="10" t="str">
        <f t="shared" si="248"/>
        <v>Supplies and Services</v>
      </c>
      <c r="X397" s="10" t="str">
        <f>VLOOKUP(U397,'[1]Account code lookup'!A:B,2,0)</f>
        <v>Stationery</v>
      </c>
      <c r="Z397" s="10" t="str">
        <f t="shared" si="253"/>
        <v>Law and Governance</v>
      </c>
      <c r="AA397" s="10" t="str">
        <f t="shared" si="254"/>
        <v>Strategy and Commissioning</v>
      </c>
      <c r="AB397" s="10" t="str">
        <f t="shared" si="255"/>
        <v>4sac</v>
      </c>
      <c r="AD397" s="10" t="str">
        <f t="shared" si="256"/>
        <v>sac07</v>
      </c>
      <c r="AE397" s="10" t="str">
        <f t="shared" si="240"/>
        <v>Finance &amp; Procurement / Head of Finance &amp; Procurement</v>
      </c>
      <c r="AG397" s="10" t="str">
        <f>"22010/1444"</f>
        <v>22010/1444</v>
      </c>
      <c r="AI397" s="10" t="str">
        <f t="shared" si="249"/>
        <v>14suse</v>
      </c>
      <c r="AJ397" s="15" t="str">
        <f>"METAL-ENDED TREASURY TAGS 51MM - PACK OF 100"</f>
        <v>METAL-ENDED TREASURY TAGS 51MM - PACK OF 100</v>
      </c>
      <c r="AK397" s="10" t="str">
        <f t="shared" si="250"/>
        <v>Revenue</v>
      </c>
      <c r="AL397" s="10" t="str">
        <f>""</f>
        <v/>
      </c>
      <c r="AM397" s="10" t="str">
        <f>""</f>
        <v/>
      </c>
      <c r="AN397" s="10" t="str">
        <f>""</f>
        <v/>
      </c>
      <c r="AO397" s="10" t="str">
        <f>""</f>
        <v/>
      </c>
    </row>
    <row r="398" spans="1:41" s="10" customFormat="1" ht="409.6">
      <c r="A398" s="9"/>
      <c r="B398" s="9"/>
      <c r="C398" s="9"/>
      <c r="D398" s="10" t="str">
        <f>"33887"</f>
        <v>33887</v>
      </c>
      <c r="E398" s="11" t="str">
        <f>""</f>
        <v/>
      </c>
      <c r="F398" s="11" t="str">
        <f t="shared" si="231"/>
        <v>372418</v>
      </c>
      <c r="G398" s="11" t="str">
        <f t="shared" si="232"/>
        <v>2017toJAN</v>
      </c>
      <c r="H398" s="11" t="str">
        <f t="shared" si="233"/>
        <v>CRSP06B</v>
      </c>
      <c r="I398" s="11" t="str">
        <f t="shared" si="234"/>
        <v>34</v>
      </c>
      <c r="J398" s="11" t="str">
        <f t="shared" si="235"/>
        <v>Creditor</v>
      </c>
      <c r="K398" s="11" t="str">
        <f t="shared" si="245"/>
        <v>CS000551</v>
      </c>
      <c r="L398" s="10" t="str">
        <f t="shared" si="246"/>
        <v>Lyreco UK Ltd</v>
      </c>
      <c r="M398" s="12" t="str">
        <f t="shared" si="236"/>
        <v>27/01/2017 00:00:00</v>
      </c>
      <c r="N398" s="12">
        <v>42762</v>
      </c>
      <c r="O398" s="10" t="str">
        <f t="shared" si="237"/>
        <v>C007779</v>
      </c>
      <c r="P398" s="13">
        <v>1.5</v>
      </c>
      <c r="Q398" s="11" t="str">
        <f>"1.5000"</f>
        <v>1.5000</v>
      </c>
      <c r="R398" s="10" t="str">
        <f t="shared" si="238"/>
        <v>C0004586</v>
      </c>
      <c r="S398" s="14" t="str">
        <f t="shared" si="239"/>
        <v>1213.7800</v>
      </c>
      <c r="T398" s="10">
        <v>22103</v>
      </c>
      <c r="U398" s="10">
        <v>1444</v>
      </c>
      <c r="V398" s="10" t="str">
        <f t="shared" si="247"/>
        <v>Printing Stationery &amp; Off Supp</v>
      </c>
      <c r="W398" s="10" t="str">
        <f t="shared" si="248"/>
        <v>Supplies and Services</v>
      </c>
      <c r="X398" s="10" t="str">
        <f>VLOOKUP(U398,'[1]Account code lookup'!A:B,2,0)</f>
        <v>Stationery</v>
      </c>
      <c r="Z398" s="10" t="str">
        <f t="shared" ref="Z398:AA400" si="258">"Chief Executives"</f>
        <v>Chief Executives</v>
      </c>
      <c r="AA398" s="10" t="str">
        <f t="shared" si="258"/>
        <v>Chief Executives</v>
      </c>
      <c r="AB398" s="10" t="str">
        <f>"1cex"</f>
        <v>1cex</v>
      </c>
      <c r="AD398" s="10" t="str">
        <f>"cex01"</f>
        <v>cex01</v>
      </c>
      <c r="AE398" s="10" t="str">
        <f t="shared" si="240"/>
        <v>Finance &amp; Procurement / Head of Finance &amp; Procurement</v>
      </c>
      <c r="AG398" s="10" t="str">
        <f>"22103/1444"</f>
        <v>22103/1444</v>
      </c>
      <c r="AI398" s="10" t="str">
        <f t="shared" si="249"/>
        <v>14suse</v>
      </c>
      <c r="AJ398" s="15" t="str">
        <f>"LYRECO BUDGET BLUE A4 PROJECT FILES 25 SHEET CAPACITY - PACK OF 25"</f>
        <v>LYRECO BUDGET BLUE A4 PROJECT FILES 25 SHEET CAPACITY - PACK OF 25</v>
      </c>
      <c r="AK398" s="10" t="str">
        <f t="shared" si="250"/>
        <v>Revenue</v>
      </c>
      <c r="AL398" s="10" t="str">
        <f>""</f>
        <v/>
      </c>
      <c r="AM398" s="10" t="str">
        <f>""</f>
        <v/>
      </c>
      <c r="AN398" s="10" t="str">
        <f>""</f>
        <v/>
      </c>
      <c r="AO398" s="10" t="str">
        <f>""</f>
        <v/>
      </c>
    </row>
    <row r="399" spans="1:41" s="10" customFormat="1" ht="409.6">
      <c r="A399" s="9"/>
      <c r="B399" s="9"/>
      <c r="C399" s="9"/>
      <c r="D399" s="10" t="str">
        <f>"33888"</f>
        <v>33888</v>
      </c>
      <c r="E399" s="11" t="str">
        <f>""</f>
        <v/>
      </c>
      <c r="F399" s="11" t="str">
        <f t="shared" si="231"/>
        <v>372418</v>
      </c>
      <c r="G399" s="11" t="str">
        <f t="shared" si="232"/>
        <v>2017toJAN</v>
      </c>
      <c r="H399" s="11" t="str">
        <f t="shared" si="233"/>
        <v>CRSP06B</v>
      </c>
      <c r="I399" s="11" t="str">
        <f t="shared" si="234"/>
        <v>34</v>
      </c>
      <c r="J399" s="11" t="str">
        <f t="shared" si="235"/>
        <v>Creditor</v>
      </c>
      <c r="K399" s="11" t="str">
        <f t="shared" si="245"/>
        <v>CS000551</v>
      </c>
      <c r="L399" s="10" t="str">
        <f t="shared" si="246"/>
        <v>Lyreco UK Ltd</v>
      </c>
      <c r="M399" s="12" t="str">
        <f t="shared" si="236"/>
        <v>27/01/2017 00:00:00</v>
      </c>
      <c r="N399" s="12">
        <v>42762</v>
      </c>
      <c r="O399" s="10" t="str">
        <f t="shared" si="237"/>
        <v>C007779</v>
      </c>
      <c r="P399" s="13">
        <v>8.99</v>
      </c>
      <c r="Q399" s="11" t="str">
        <f>"8.9900"</f>
        <v>8.9900</v>
      </c>
      <c r="R399" s="10" t="str">
        <f t="shared" si="238"/>
        <v>C0004586</v>
      </c>
      <c r="S399" s="14" t="str">
        <f t="shared" si="239"/>
        <v>1213.7800</v>
      </c>
      <c r="T399" s="10">
        <v>22103</v>
      </c>
      <c r="U399" s="10">
        <v>1444</v>
      </c>
      <c r="V399" s="10" t="str">
        <f t="shared" si="247"/>
        <v>Printing Stationery &amp; Off Supp</v>
      </c>
      <c r="W399" s="10" t="str">
        <f t="shared" si="248"/>
        <v>Supplies and Services</v>
      </c>
      <c r="X399" s="10" t="str">
        <f>VLOOKUP(U399,'[1]Account code lookup'!A:B,2,0)</f>
        <v>Stationery</v>
      </c>
      <c r="Z399" s="10" t="str">
        <f t="shared" si="258"/>
        <v>Chief Executives</v>
      </c>
      <c r="AA399" s="10" t="str">
        <f t="shared" si="258"/>
        <v>Chief Executives</v>
      </c>
      <c r="AB399" s="10" t="str">
        <f>"1cex"</f>
        <v>1cex</v>
      </c>
      <c r="AD399" s="10" t="str">
        <f>"cex01"</f>
        <v>cex01</v>
      </c>
      <c r="AE399" s="10" t="str">
        <f t="shared" si="240"/>
        <v>Finance &amp; Procurement / Head of Finance &amp; Procurement</v>
      </c>
      <c r="AG399" s="10" t="str">
        <f>"22103/1444"</f>
        <v>22103/1444</v>
      </c>
      <c r="AI399" s="10" t="str">
        <f t="shared" si="249"/>
        <v>14suse</v>
      </c>
      <c r="AJ399" s="15" t="str">
        <f>"MUVO 7 IN 1 DISHWASHER TABLETS - PACK OF 100"</f>
        <v>MUVO 7 IN 1 DISHWASHER TABLETS - PACK OF 100</v>
      </c>
      <c r="AK399" s="10" t="str">
        <f t="shared" si="250"/>
        <v>Revenue</v>
      </c>
      <c r="AL399" s="10" t="str">
        <f>""</f>
        <v/>
      </c>
      <c r="AM399" s="10" t="str">
        <f>""</f>
        <v/>
      </c>
      <c r="AN399" s="10" t="str">
        <f>""</f>
        <v/>
      </c>
      <c r="AO399" s="10" t="str">
        <f>""</f>
        <v/>
      </c>
    </row>
    <row r="400" spans="1:41" s="10" customFormat="1" ht="409.6">
      <c r="A400" s="9"/>
      <c r="B400" s="9"/>
      <c r="C400" s="9"/>
      <c r="D400" s="10" t="str">
        <f>"33889"</f>
        <v>33889</v>
      </c>
      <c r="E400" s="11" t="str">
        <f>""</f>
        <v/>
      </c>
      <c r="F400" s="11" t="str">
        <f t="shared" si="231"/>
        <v>372418</v>
      </c>
      <c r="G400" s="11" t="str">
        <f t="shared" si="232"/>
        <v>2017toJAN</v>
      </c>
      <c r="H400" s="11" t="str">
        <f t="shared" si="233"/>
        <v>CRSP06B</v>
      </c>
      <c r="I400" s="11" t="str">
        <f t="shared" si="234"/>
        <v>34</v>
      </c>
      <c r="J400" s="11" t="str">
        <f t="shared" si="235"/>
        <v>Creditor</v>
      </c>
      <c r="K400" s="11" t="str">
        <f t="shared" si="245"/>
        <v>CS000551</v>
      </c>
      <c r="L400" s="10" t="str">
        <f t="shared" si="246"/>
        <v>Lyreco UK Ltd</v>
      </c>
      <c r="M400" s="12" t="str">
        <f t="shared" si="236"/>
        <v>27/01/2017 00:00:00</v>
      </c>
      <c r="N400" s="12">
        <v>42762</v>
      </c>
      <c r="O400" s="10" t="str">
        <f t="shared" si="237"/>
        <v>C007779</v>
      </c>
      <c r="P400" s="13">
        <v>26.95</v>
      </c>
      <c r="Q400" s="11" t="str">
        <f>"26.9500"</f>
        <v>26.9500</v>
      </c>
      <c r="R400" s="10" t="str">
        <f t="shared" si="238"/>
        <v>C0004586</v>
      </c>
      <c r="S400" s="14" t="str">
        <f t="shared" si="239"/>
        <v>1213.7800</v>
      </c>
      <c r="T400" s="10">
        <v>22103</v>
      </c>
      <c r="U400" s="10">
        <v>1444</v>
      </c>
      <c r="V400" s="10" t="str">
        <f t="shared" si="247"/>
        <v>Printing Stationery &amp; Off Supp</v>
      </c>
      <c r="W400" s="10" t="str">
        <f t="shared" si="248"/>
        <v>Supplies and Services</v>
      </c>
      <c r="X400" s="10" t="str">
        <f>VLOOKUP(U400,'[1]Account code lookup'!A:B,2,0)</f>
        <v>Stationery</v>
      </c>
      <c r="Z400" s="10" t="str">
        <f t="shared" si="258"/>
        <v>Chief Executives</v>
      </c>
      <c r="AA400" s="10" t="str">
        <f t="shared" si="258"/>
        <v>Chief Executives</v>
      </c>
      <c r="AB400" s="10" t="str">
        <f>"1cex"</f>
        <v>1cex</v>
      </c>
      <c r="AD400" s="10" t="str">
        <f>"cex01"</f>
        <v>cex01</v>
      </c>
      <c r="AE400" s="10" t="str">
        <f t="shared" si="240"/>
        <v>Finance &amp; Procurement / Head of Finance &amp; Procurement</v>
      </c>
      <c r="AG400" s="10" t="str">
        <f>"22103/1444"</f>
        <v>22103/1444</v>
      </c>
      <c r="AI400" s="10" t="str">
        <f t="shared" si="249"/>
        <v>14suse</v>
      </c>
      <c r="AJ400" s="15" t="str">
        <f>"OXFORD OFFICE SMART BLACK TWINWIRE NOTEBOOK A5 - PACK OF 5"</f>
        <v>OXFORD OFFICE SMART BLACK TWINWIRE NOTEBOOK A5 - PACK OF 5</v>
      </c>
      <c r="AK400" s="10" t="str">
        <f t="shared" si="250"/>
        <v>Revenue</v>
      </c>
      <c r="AL400" s="10" t="str">
        <f>""</f>
        <v/>
      </c>
      <c r="AM400" s="10" t="str">
        <f>""</f>
        <v/>
      </c>
      <c r="AN400" s="10" t="str">
        <f>""</f>
        <v/>
      </c>
      <c r="AO400" s="10" t="str">
        <f>""</f>
        <v/>
      </c>
    </row>
    <row r="401" spans="1:41" s="10" customFormat="1" ht="409.6">
      <c r="A401" s="9"/>
      <c r="B401" s="9"/>
      <c r="C401" s="9"/>
      <c r="D401" s="10" t="str">
        <f>"33890"</f>
        <v>33890</v>
      </c>
      <c r="E401" s="11" t="str">
        <f>""</f>
        <v/>
      </c>
      <c r="F401" s="11" t="str">
        <f t="shared" si="231"/>
        <v>372418</v>
      </c>
      <c r="G401" s="11" t="str">
        <f t="shared" si="232"/>
        <v>2017toJAN</v>
      </c>
      <c r="H401" s="11" t="str">
        <f t="shared" si="233"/>
        <v>CRSP06B</v>
      </c>
      <c r="I401" s="11" t="str">
        <f t="shared" si="234"/>
        <v>34</v>
      </c>
      <c r="J401" s="11" t="str">
        <f t="shared" si="235"/>
        <v>Creditor</v>
      </c>
      <c r="K401" s="11" t="str">
        <f t="shared" si="245"/>
        <v>CS000551</v>
      </c>
      <c r="L401" s="10" t="str">
        <f t="shared" si="246"/>
        <v>Lyreco UK Ltd</v>
      </c>
      <c r="M401" s="12" t="str">
        <f t="shared" si="236"/>
        <v>27/01/2017 00:00:00</v>
      </c>
      <c r="N401" s="12">
        <v>42762</v>
      </c>
      <c r="O401" s="10" t="str">
        <f t="shared" si="237"/>
        <v>C007779</v>
      </c>
      <c r="P401" s="13">
        <v>10.8</v>
      </c>
      <c r="Q401" s="11" t="str">
        <f>"10.8000"</f>
        <v>10.8000</v>
      </c>
      <c r="R401" s="10" t="str">
        <f t="shared" si="238"/>
        <v>C0004586</v>
      </c>
      <c r="S401" s="14" t="str">
        <f t="shared" si="239"/>
        <v>1213.7800</v>
      </c>
      <c r="T401" s="10">
        <v>25500</v>
      </c>
      <c r="U401" s="10">
        <v>1444</v>
      </c>
      <c r="V401" s="10" t="str">
        <f t="shared" si="247"/>
        <v>Printing Stationery &amp; Off Supp</v>
      </c>
      <c r="W401" s="10" t="str">
        <f t="shared" si="248"/>
        <v>Supplies and Services</v>
      </c>
      <c r="X401" s="10" t="str">
        <f>VLOOKUP(U401,'[1]Account code lookup'!A:B,2,0)</f>
        <v>Stationery</v>
      </c>
      <c r="Z401" s="10" t="str">
        <f>"Community Services"</f>
        <v>Community Services</v>
      </c>
      <c r="AA401" s="10" t="str">
        <f>"Operations and Delivery"</f>
        <v>Operations and Delivery</v>
      </c>
      <c r="AB401" s="10" t="str">
        <f>"5oad"</f>
        <v>5oad</v>
      </c>
      <c r="AD401" s="10" t="str">
        <f>"oad01"</f>
        <v>oad01</v>
      </c>
      <c r="AE401" s="10" t="str">
        <f t="shared" si="240"/>
        <v>Finance &amp; Procurement / Head of Finance &amp; Procurement</v>
      </c>
      <c r="AG401" s="10" t="str">
        <f>"25500/1444"</f>
        <v>25500/1444</v>
      </c>
      <c r="AI401" s="10" t="str">
        <f t="shared" si="249"/>
        <v>14suse</v>
      </c>
      <c r="AJ401" s="15" t="str">
        <f>"PLASTIC KNIFE 18 MM WITH 1 BLADE"</f>
        <v>PLASTIC KNIFE 18 MM WITH 1 BLADE</v>
      </c>
      <c r="AK401" s="10" t="str">
        <f t="shared" si="250"/>
        <v>Revenue</v>
      </c>
      <c r="AL401" s="10" t="str">
        <f>""</f>
        <v/>
      </c>
      <c r="AM401" s="10" t="str">
        <f>""</f>
        <v/>
      </c>
      <c r="AN401" s="10" t="str">
        <f>""</f>
        <v/>
      </c>
      <c r="AO401" s="10" t="str">
        <f>""</f>
        <v/>
      </c>
    </row>
    <row r="402" spans="1:41" s="10" customFormat="1" ht="409.6">
      <c r="A402" s="9"/>
      <c r="B402" s="9"/>
      <c r="C402" s="9"/>
      <c r="D402" s="10" t="str">
        <f>"33891"</f>
        <v>33891</v>
      </c>
      <c r="E402" s="11" t="str">
        <f>""</f>
        <v/>
      </c>
      <c r="F402" s="11" t="str">
        <f t="shared" si="231"/>
        <v>372418</v>
      </c>
      <c r="G402" s="11" t="str">
        <f t="shared" si="232"/>
        <v>2017toJAN</v>
      </c>
      <c r="H402" s="11" t="str">
        <f t="shared" si="233"/>
        <v>CRSP06B</v>
      </c>
      <c r="I402" s="11" t="str">
        <f t="shared" si="234"/>
        <v>34</v>
      </c>
      <c r="J402" s="11" t="str">
        <f t="shared" si="235"/>
        <v>Creditor</v>
      </c>
      <c r="K402" s="11" t="str">
        <f t="shared" si="245"/>
        <v>CS000551</v>
      </c>
      <c r="L402" s="10" t="str">
        <f t="shared" si="246"/>
        <v>Lyreco UK Ltd</v>
      </c>
      <c r="M402" s="12" t="str">
        <f t="shared" si="236"/>
        <v>27/01/2017 00:00:00</v>
      </c>
      <c r="N402" s="12">
        <v>42762</v>
      </c>
      <c r="O402" s="10" t="str">
        <f t="shared" si="237"/>
        <v>C007779</v>
      </c>
      <c r="P402" s="13">
        <v>8.6</v>
      </c>
      <c r="Q402" s="11" t="str">
        <f>"8.6000"</f>
        <v>8.6000</v>
      </c>
      <c r="R402" s="10" t="str">
        <f t="shared" si="238"/>
        <v>C0004586</v>
      </c>
      <c r="S402" s="14" t="str">
        <f t="shared" si="239"/>
        <v>1213.7800</v>
      </c>
      <c r="T402" s="10">
        <v>25540</v>
      </c>
      <c r="U402" s="10">
        <v>1444</v>
      </c>
      <c r="V402" s="10" t="str">
        <f t="shared" si="247"/>
        <v>Printing Stationery &amp; Off Supp</v>
      </c>
      <c r="W402" s="10" t="str">
        <f t="shared" si="248"/>
        <v>Supplies and Services</v>
      </c>
      <c r="X402" s="10" t="str">
        <f>VLOOKUP(U402,'[1]Account code lookup'!A:B,2,0)</f>
        <v>Stationery</v>
      </c>
      <c r="Z402" s="10" t="str">
        <f>"Community Services"</f>
        <v>Community Services</v>
      </c>
      <c r="AA402" s="10" t="str">
        <f>"Operations and Delivery"</f>
        <v>Operations and Delivery</v>
      </c>
      <c r="AB402" s="10" t="str">
        <f>"5oad"</f>
        <v>5oad</v>
      </c>
      <c r="AD402" s="10" t="str">
        <f>"oad01"</f>
        <v>oad01</v>
      </c>
      <c r="AE402" s="10" t="str">
        <f t="shared" si="240"/>
        <v>Finance &amp; Procurement / Head of Finance &amp; Procurement</v>
      </c>
      <c r="AG402" s="10" t="str">
        <f>"25540/1444"</f>
        <v>25540/1444</v>
      </c>
      <c r="AI402" s="10" t="str">
        <f t="shared" si="249"/>
        <v>14suse</v>
      </c>
      <c r="AJ402" s="15" t="str">
        <f>"LYRECO ENVELOPES C4 90 GRAM 100 PERCENT RECYCLED WHITE - BOX OF 250"</f>
        <v>LYRECO ENVELOPES C4 90 GRAM 100 PERCENT RECYCLED WHITE - BOX OF 250</v>
      </c>
      <c r="AK402" s="10" t="str">
        <f t="shared" si="250"/>
        <v>Revenue</v>
      </c>
      <c r="AL402" s="10" t="str">
        <f>""</f>
        <v/>
      </c>
      <c r="AM402" s="10" t="str">
        <f>""</f>
        <v/>
      </c>
      <c r="AN402" s="10" t="str">
        <f>""</f>
        <v/>
      </c>
      <c r="AO402" s="10" t="str">
        <f>""</f>
        <v/>
      </c>
    </row>
    <row r="403" spans="1:41" s="10" customFormat="1" ht="409.6">
      <c r="A403" s="9"/>
      <c r="B403" s="9"/>
      <c r="C403" s="9"/>
      <c r="D403" s="10" t="str">
        <f>"33892"</f>
        <v>33892</v>
      </c>
      <c r="E403" s="11" t="str">
        <f>""</f>
        <v/>
      </c>
      <c r="F403" s="11" t="str">
        <f t="shared" si="231"/>
        <v>372418</v>
      </c>
      <c r="G403" s="11" t="str">
        <f t="shared" si="232"/>
        <v>2017toJAN</v>
      </c>
      <c r="H403" s="11" t="str">
        <f t="shared" si="233"/>
        <v>CRSP06B</v>
      </c>
      <c r="I403" s="11" t="str">
        <f t="shared" si="234"/>
        <v>34</v>
      </c>
      <c r="J403" s="11" t="str">
        <f t="shared" si="235"/>
        <v>Creditor</v>
      </c>
      <c r="K403" s="11" t="str">
        <f t="shared" si="245"/>
        <v>CS000551</v>
      </c>
      <c r="L403" s="10" t="str">
        <f t="shared" si="246"/>
        <v>Lyreco UK Ltd</v>
      </c>
      <c r="M403" s="12" t="str">
        <f t="shared" si="236"/>
        <v>27/01/2017 00:00:00</v>
      </c>
      <c r="N403" s="12">
        <v>42762</v>
      </c>
      <c r="O403" s="10" t="str">
        <f t="shared" si="237"/>
        <v>C007779</v>
      </c>
      <c r="P403" s="13">
        <v>9.58</v>
      </c>
      <c r="Q403" s="11" t="str">
        <f>"9.5800"</f>
        <v>9.5800</v>
      </c>
      <c r="R403" s="10" t="str">
        <f t="shared" si="238"/>
        <v>C0004586</v>
      </c>
      <c r="S403" s="14" t="str">
        <f t="shared" si="239"/>
        <v>1213.7800</v>
      </c>
      <c r="T403" s="10">
        <v>25540</v>
      </c>
      <c r="U403" s="10">
        <v>1444</v>
      </c>
      <c r="V403" s="10" t="str">
        <f t="shared" si="247"/>
        <v>Printing Stationery &amp; Off Supp</v>
      </c>
      <c r="W403" s="10" t="str">
        <f t="shared" si="248"/>
        <v>Supplies and Services</v>
      </c>
      <c r="X403" s="10" t="str">
        <f>VLOOKUP(U403,'[1]Account code lookup'!A:B,2,0)</f>
        <v>Stationery</v>
      </c>
      <c r="Z403" s="10" t="str">
        <f>"Community Services"</f>
        <v>Community Services</v>
      </c>
      <c r="AA403" s="10" t="str">
        <f>"Operations and Delivery"</f>
        <v>Operations and Delivery</v>
      </c>
      <c r="AB403" s="10" t="str">
        <f>"5oad"</f>
        <v>5oad</v>
      </c>
      <c r="AD403" s="10" t="str">
        <f>"oad01"</f>
        <v>oad01</v>
      </c>
      <c r="AE403" s="10" t="str">
        <f t="shared" si="240"/>
        <v>Finance &amp; Procurement / Head of Finance &amp; Procurement</v>
      </c>
      <c r="AG403" s="10" t="str">
        <f>"25540/1444"</f>
        <v>25540/1444</v>
      </c>
      <c r="AI403" s="10" t="str">
        <f t="shared" si="249"/>
        <v>14suse</v>
      </c>
      <c r="AJ403" s="15" t="str">
        <f>"LYRECO ENVELOPES C5 90 G 100 PERCENT RECYCLED WHITE - BOX OF 500"</f>
        <v>LYRECO ENVELOPES C5 90 G 100 PERCENT RECYCLED WHITE - BOX OF 500</v>
      </c>
      <c r="AK403" s="10" t="str">
        <f t="shared" si="250"/>
        <v>Revenue</v>
      </c>
      <c r="AL403" s="10" t="str">
        <f>""</f>
        <v/>
      </c>
      <c r="AM403" s="10" t="str">
        <f>""</f>
        <v/>
      </c>
      <c r="AN403" s="10" t="str">
        <f>""</f>
        <v/>
      </c>
      <c r="AO403" s="10" t="str">
        <f>""</f>
        <v/>
      </c>
    </row>
    <row r="404" spans="1:41" s="10" customFormat="1" ht="409.6">
      <c r="A404" s="9"/>
      <c r="B404" s="9"/>
      <c r="C404" s="9"/>
      <c r="D404" s="10" t="str">
        <f>"33893"</f>
        <v>33893</v>
      </c>
      <c r="E404" s="11" t="str">
        <f>""</f>
        <v/>
      </c>
      <c r="F404" s="11" t="str">
        <f t="shared" si="231"/>
        <v>372418</v>
      </c>
      <c r="G404" s="11" t="str">
        <f t="shared" si="232"/>
        <v>2017toJAN</v>
      </c>
      <c r="H404" s="11" t="str">
        <f t="shared" si="233"/>
        <v>CRSP06B</v>
      </c>
      <c r="I404" s="11" t="str">
        <f t="shared" si="234"/>
        <v>34</v>
      </c>
      <c r="J404" s="11" t="str">
        <f t="shared" si="235"/>
        <v>Creditor</v>
      </c>
      <c r="K404" s="11" t="str">
        <f t="shared" si="245"/>
        <v>CS000551</v>
      </c>
      <c r="L404" s="10" t="str">
        <f t="shared" si="246"/>
        <v>Lyreco UK Ltd</v>
      </c>
      <c r="M404" s="12" t="str">
        <f t="shared" si="236"/>
        <v>27/01/2017 00:00:00</v>
      </c>
      <c r="N404" s="12">
        <v>42762</v>
      </c>
      <c r="O404" s="10" t="str">
        <f t="shared" si="237"/>
        <v>C007779</v>
      </c>
      <c r="P404" s="13">
        <v>2.82</v>
      </c>
      <c r="Q404" s="11" t="str">
        <f>"2.8200"</f>
        <v>2.8200</v>
      </c>
      <c r="R404" s="10" t="str">
        <f t="shared" si="238"/>
        <v>C0004586</v>
      </c>
      <c r="S404" s="14" t="str">
        <f t="shared" si="239"/>
        <v>1213.7800</v>
      </c>
      <c r="T404" s="10">
        <v>28650</v>
      </c>
      <c r="U404" s="10">
        <v>1444</v>
      </c>
      <c r="V404" s="10" t="str">
        <f t="shared" si="247"/>
        <v>Printing Stationery &amp; Off Supp</v>
      </c>
      <c r="W404" s="10" t="str">
        <f t="shared" si="248"/>
        <v>Supplies and Services</v>
      </c>
      <c r="X404" s="10" t="str">
        <f>VLOOKUP(U404,'[1]Account code lookup'!A:B,2,0)</f>
        <v>Stationery</v>
      </c>
      <c r="Z404" s="10" t="str">
        <f t="shared" ref="Z404:Z418" si="259">"Regeneration and Housing"</f>
        <v>Regeneration and Housing</v>
      </c>
      <c r="AA404" s="10" t="str">
        <f t="shared" ref="AA404:AA418" si="260">"Commercial Development"</f>
        <v>Commercial Development</v>
      </c>
      <c r="AB404" s="10" t="str">
        <f t="shared" ref="AB404:AB418" si="261">"2cdb"</f>
        <v>2cdb</v>
      </c>
      <c r="AD404" s="10" t="str">
        <f t="shared" ref="AD404:AD418" si="262">"cdb02"</f>
        <v>cdb02</v>
      </c>
      <c r="AE404" s="10" t="str">
        <f t="shared" si="240"/>
        <v>Finance &amp; Procurement / Head of Finance &amp; Procurement</v>
      </c>
      <c r="AG404" s="10" t="str">
        <f t="shared" ref="AG404:AG418" si="263">"28650/1444"</f>
        <v>28650/1444</v>
      </c>
      <c r="AI404" s="10" t="str">
        <f t="shared" si="249"/>
        <v>14suse</v>
      </c>
      <c r="AJ404" s="15" t="str">
        <f>"CANON AS-120 12-DIGIT POCKET CALCULATOR"</f>
        <v>CANON AS-120 12-DIGIT POCKET CALCULATOR</v>
      </c>
      <c r="AK404" s="10" t="str">
        <f t="shared" si="250"/>
        <v>Revenue</v>
      </c>
      <c r="AL404" s="10" t="str">
        <f>""</f>
        <v/>
      </c>
      <c r="AM404" s="10" t="str">
        <f>""</f>
        <v/>
      </c>
      <c r="AN404" s="10" t="str">
        <f>""</f>
        <v/>
      </c>
      <c r="AO404" s="10" t="str">
        <f>""</f>
        <v/>
      </c>
    </row>
    <row r="405" spans="1:41" s="10" customFormat="1" ht="409.6">
      <c r="A405" s="9"/>
      <c r="B405" s="9"/>
      <c r="C405" s="9"/>
      <c r="D405" s="10" t="str">
        <f>"33894"</f>
        <v>33894</v>
      </c>
      <c r="E405" s="11" t="str">
        <f>""</f>
        <v/>
      </c>
      <c r="F405" s="11" t="str">
        <f t="shared" si="231"/>
        <v>372418</v>
      </c>
      <c r="G405" s="11" t="str">
        <f t="shared" si="232"/>
        <v>2017toJAN</v>
      </c>
      <c r="H405" s="11" t="str">
        <f t="shared" si="233"/>
        <v>CRSP06B</v>
      </c>
      <c r="I405" s="11" t="str">
        <f t="shared" si="234"/>
        <v>34</v>
      </c>
      <c r="J405" s="11" t="str">
        <f t="shared" si="235"/>
        <v>Creditor</v>
      </c>
      <c r="K405" s="11" t="str">
        <f t="shared" si="245"/>
        <v>CS000551</v>
      </c>
      <c r="L405" s="10" t="str">
        <f t="shared" si="246"/>
        <v>Lyreco UK Ltd</v>
      </c>
      <c r="M405" s="12" t="str">
        <f t="shared" si="236"/>
        <v>27/01/2017 00:00:00</v>
      </c>
      <c r="N405" s="12">
        <v>42762</v>
      </c>
      <c r="O405" s="10" t="str">
        <f t="shared" si="237"/>
        <v>C007779</v>
      </c>
      <c r="P405" s="13">
        <v>2</v>
      </c>
      <c r="Q405" s="11" t="str">
        <f>"2.0000"</f>
        <v>2.0000</v>
      </c>
      <c r="R405" s="10" t="str">
        <f t="shared" si="238"/>
        <v>C0004586</v>
      </c>
      <c r="S405" s="14" t="str">
        <f t="shared" si="239"/>
        <v>1213.7800</v>
      </c>
      <c r="T405" s="10">
        <v>28650</v>
      </c>
      <c r="U405" s="10">
        <v>1444</v>
      </c>
      <c r="V405" s="10" t="str">
        <f t="shared" si="247"/>
        <v>Printing Stationery &amp; Off Supp</v>
      </c>
      <c r="W405" s="10" t="str">
        <f t="shared" si="248"/>
        <v>Supplies and Services</v>
      </c>
      <c r="X405" s="10" t="str">
        <f>VLOOKUP(U405,'[1]Account code lookup'!A:B,2,0)</f>
        <v>Stationery</v>
      </c>
      <c r="Z405" s="10" t="str">
        <f t="shared" si="259"/>
        <v>Regeneration and Housing</v>
      </c>
      <c r="AA405" s="10" t="str">
        <f t="shared" si="260"/>
        <v>Commercial Development</v>
      </c>
      <c r="AB405" s="10" t="str">
        <f t="shared" si="261"/>
        <v>2cdb</v>
      </c>
      <c r="AD405" s="10" t="str">
        <f t="shared" si="262"/>
        <v>cdb02</v>
      </c>
      <c r="AE405" s="10" t="str">
        <f t="shared" si="240"/>
        <v>Finance &amp; Procurement / Head of Finance &amp; Procurement</v>
      </c>
      <c r="AG405" s="10" t="str">
        <f t="shared" si="263"/>
        <v>28650/1444</v>
      </c>
      <c r="AI405" s="10" t="str">
        <f t="shared" si="249"/>
        <v>14suse</v>
      </c>
      <c r="AJ405" s="15" t="str">
        <f>"CONTRACT A4/FOOLSCAP BLUE LETTER TRAY"</f>
        <v>CONTRACT A4/FOOLSCAP BLUE LETTER TRAY</v>
      </c>
      <c r="AK405" s="10" t="str">
        <f t="shared" si="250"/>
        <v>Revenue</v>
      </c>
      <c r="AL405" s="10" t="str">
        <f>""</f>
        <v/>
      </c>
      <c r="AM405" s="10" t="str">
        <f>""</f>
        <v/>
      </c>
      <c r="AN405" s="10" t="str">
        <f>""</f>
        <v/>
      </c>
      <c r="AO405" s="10" t="str">
        <f>""</f>
        <v/>
      </c>
    </row>
    <row r="406" spans="1:41" s="10" customFormat="1" ht="409.6">
      <c r="A406" s="9"/>
      <c r="B406" s="9"/>
      <c r="C406" s="9"/>
      <c r="D406" s="10" t="str">
        <f>"33895"</f>
        <v>33895</v>
      </c>
      <c r="E406" s="11" t="str">
        <f>""</f>
        <v/>
      </c>
      <c r="F406" s="11" t="str">
        <f t="shared" si="231"/>
        <v>372418</v>
      </c>
      <c r="G406" s="11" t="str">
        <f t="shared" si="232"/>
        <v>2017toJAN</v>
      </c>
      <c r="H406" s="11" t="str">
        <f t="shared" si="233"/>
        <v>CRSP06B</v>
      </c>
      <c r="I406" s="11" t="str">
        <f t="shared" si="234"/>
        <v>34</v>
      </c>
      <c r="J406" s="11" t="str">
        <f t="shared" si="235"/>
        <v>Creditor</v>
      </c>
      <c r="K406" s="11" t="str">
        <f t="shared" si="245"/>
        <v>CS000551</v>
      </c>
      <c r="L406" s="10" t="str">
        <f t="shared" si="246"/>
        <v>Lyreco UK Ltd</v>
      </c>
      <c r="M406" s="12" t="str">
        <f t="shared" si="236"/>
        <v>27/01/2017 00:00:00</v>
      </c>
      <c r="N406" s="12">
        <v>42762</v>
      </c>
      <c r="O406" s="10" t="str">
        <f t="shared" si="237"/>
        <v>C007779</v>
      </c>
      <c r="P406" s="13">
        <v>0.42</v>
      </c>
      <c r="Q406" s="11" t="str">
        <f>"0.4200"</f>
        <v>0.4200</v>
      </c>
      <c r="R406" s="10" t="str">
        <f t="shared" si="238"/>
        <v>C0004586</v>
      </c>
      <c r="S406" s="14" t="str">
        <f t="shared" si="239"/>
        <v>1213.7800</v>
      </c>
      <c r="T406" s="10">
        <v>28650</v>
      </c>
      <c r="U406" s="10">
        <v>1444</v>
      </c>
      <c r="V406" s="10" t="str">
        <f t="shared" si="247"/>
        <v>Printing Stationery &amp; Off Supp</v>
      </c>
      <c r="W406" s="10" t="str">
        <f t="shared" si="248"/>
        <v>Supplies and Services</v>
      </c>
      <c r="X406" s="10" t="str">
        <f>VLOOKUP(U406,'[1]Account code lookup'!A:B,2,0)</f>
        <v>Stationery</v>
      </c>
      <c r="Z406" s="10" t="str">
        <f t="shared" si="259"/>
        <v>Regeneration and Housing</v>
      </c>
      <c r="AA406" s="10" t="str">
        <f t="shared" si="260"/>
        <v>Commercial Development</v>
      </c>
      <c r="AB406" s="10" t="str">
        <f t="shared" si="261"/>
        <v>2cdb</v>
      </c>
      <c r="AD406" s="10" t="str">
        <f t="shared" si="262"/>
        <v>cdb02</v>
      </c>
      <c r="AE406" s="10" t="str">
        <f t="shared" si="240"/>
        <v>Finance &amp; Procurement / Head of Finance &amp; Procurement</v>
      </c>
      <c r="AG406" s="10" t="str">
        <f t="shared" si="263"/>
        <v>28650/1444</v>
      </c>
      <c r="AI406" s="10" t="str">
        <f t="shared" si="249"/>
        <v>14suse</v>
      </c>
      <c r="AJ406" s="15" t="str">
        <f>"CONTRACT CHROME LETTER TRAY RISERS - PACK OF 4"</f>
        <v>CONTRACT CHROME LETTER TRAY RISERS - PACK OF 4</v>
      </c>
      <c r="AK406" s="10" t="str">
        <f t="shared" si="250"/>
        <v>Revenue</v>
      </c>
      <c r="AL406" s="10" t="str">
        <f>""</f>
        <v/>
      </c>
      <c r="AM406" s="10" t="str">
        <f>""</f>
        <v/>
      </c>
      <c r="AN406" s="10" t="str">
        <f>""</f>
        <v/>
      </c>
      <c r="AO406" s="10" t="str">
        <f>""</f>
        <v/>
      </c>
    </row>
    <row r="407" spans="1:41" s="10" customFormat="1" ht="409.6">
      <c r="A407" s="9"/>
      <c r="B407" s="9"/>
      <c r="C407" s="9"/>
      <c r="D407" s="10" t="str">
        <f>"33896"</f>
        <v>33896</v>
      </c>
      <c r="E407" s="11" t="str">
        <f>""</f>
        <v/>
      </c>
      <c r="F407" s="11" t="str">
        <f t="shared" si="231"/>
        <v>372418</v>
      </c>
      <c r="G407" s="11" t="str">
        <f t="shared" si="232"/>
        <v>2017toJAN</v>
      </c>
      <c r="H407" s="11" t="str">
        <f t="shared" si="233"/>
        <v>CRSP06B</v>
      </c>
      <c r="I407" s="11" t="str">
        <f t="shared" si="234"/>
        <v>34</v>
      </c>
      <c r="J407" s="11" t="str">
        <f t="shared" si="235"/>
        <v>Creditor</v>
      </c>
      <c r="K407" s="11" t="str">
        <f t="shared" si="245"/>
        <v>CS000551</v>
      </c>
      <c r="L407" s="10" t="str">
        <f t="shared" si="246"/>
        <v>Lyreco UK Ltd</v>
      </c>
      <c r="M407" s="12" t="str">
        <f t="shared" si="236"/>
        <v>27/01/2017 00:00:00</v>
      </c>
      <c r="N407" s="12">
        <v>42762</v>
      </c>
      <c r="O407" s="10" t="str">
        <f t="shared" si="237"/>
        <v>C007779</v>
      </c>
      <c r="P407" s="13">
        <v>2.9</v>
      </c>
      <c r="Q407" s="11" t="str">
        <f>"2.9000"</f>
        <v>2.9000</v>
      </c>
      <c r="R407" s="10" t="str">
        <f t="shared" si="238"/>
        <v>C0004586</v>
      </c>
      <c r="S407" s="14" t="str">
        <f t="shared" si="239"/>
        <v>1213.7800</v>
      </c>
      <c r="T407" s="10">
        <v>28650</v>
      </c>
      <c r="U407" s="10">
        <v>1444</v>
      </c>
      <c r="V407" s="10" t="str">
        <f t="shared" si="247"/>
        <v>Printing Stationery &amp; Off Supp</v>
      </c>
      <c r="W407" s="10" t="str">
        <f t="shared" si="248"/>
        <v>Supplies and Services</v>
      </c>
      <c r="X407" s="10" t="str">
        <f>VLOOKUP(U407,'[1]Account code lookup'!A:B,2,0)</f>
        <v>Stationery</v>
      </c>
      <c r="Z407" s="10" t="str">
        <f t="shared" si="259"/>
        <v>Regeneration and Housing</v>
      </c>
      <c r="AA407" s="10" t="str">
        <f t="shared" si="260"/>
        <v>Commercial Development</v>
      </c>
      <c r="AB407" s="10" t="str">
        <f t="shared" si="261"/>
        <v>2cdb</v>
      </c>
      <c r="AD407" s="10" t="str">
        <f t="shared" si="262"/>
        <v>cdb02</v>
      </c>
      <c r="AE407" s="10" t="str">
        <f t="shared" si="240"/>
        <v>Finance &amp; Procurement / Head of Finance &amp; Procurement</v>
      </c>
      <c r="AG407" s="10" t="str">
        <f t="shared" si="263"/>
        <v>28650/1444</v>
      </c>
      <c r="AI407" s="10" t="str">
        <f t="shared" si="249"/>
        <v>14suse</v>
      </c>
      <c r="AJ407" s="15" t="str">
        <f>"LYRECO A4 RULED MANUSCRIPT BOOK - 96 SHEETS"</f>
        <v>LYRECO A4 RULED MANUSCRIPT BOOK - 96 SHEETS</v>
      </c>
      <c r="AK407" s="10" t="str">
        <f t="shared" si="250"/>
        <v>Revenue</v>
      </c>
      <c r="AL407" s="10" t="str">
        <f>""</f>
        <v/>
      </c>
      <c r="AM407" s="10" t="str">
        <f>""</f>
        <v/>
      </c>
      <c r="AN407" s="10" t="str">
        <f>""</f>
        <v/>
      </c>
      <c r="AO407" s="10" t="str">
        <f>""</f>
        <v/>
      </c>
    </row>
    <row r="408" spans="1:41" s="10" customFormat="1" ht="409.6">
      <c r="A408" s="9"/>
      <c r="B408" s="9"/>
      <c r="C408" s="9"/>
      <c r="D408" s="10" t="str">
        <f>"33897"</f>
        <v>33897</v>
      </c>
      <c r="E408" s="11" t="str">
        <f>""</f>
        <v/>
      </c>
      <c r="F408" s="11" t="str">
        <f t="shared" si="231"/>
        <v>372418</v>
      </c>
      <c r="G408" s="11" t="str">
        <f t="shared" si="232"/>
        <v>2017toJAN</v>
      </c>
      <c r="H408" s="11" t="str">
        <f t="shared" si="233"/>
        <v>CRSP06B</v>
      </c>
      <c r="I408" s="11" t="str">
        <f t="shared" si="234"/>
        <v>34</v>
      </c>
      <c r="J408" s="11" t="str">
        <f t="shared" si="235"/>
        <v>Creditor</v>
      </c>
      <c r="K408" s="11" t="str">
        <f t="shared" si="245"/>
        <v>CS000551</v>
      </c>
      <c r="L408" s="10" t="str">
        <f t="shared" si="246"/>
        <v>Lyreco UK Ltd</v>
      </c>
      <c r="M408" s="12" t="str">
        <f t="shared" si="236"/>
        <v>27/01/2017 00:00:00</v>
      </c>
      <c r="N408" s="12">
        <v>42762</v>
      </c>
      <c r="O408" s="10" t="str">
        <f t="shared" si="237"/>
        <v>C007779</v>
      </c>
      <c r="P408" s="13">
        <v>0.3</v>
      </c>
      <c r="Q408" s="11" t="str">
        <f>"0.3000"</f>
        <v>0.3000</v>
      </c>
      <c r="R408" s="10" t="str">
        <f t="shared" si="238"/>
        <v>C0004586</v>
      </c>
      <c r="S408" s="14" t="str">
        <f t="shared" si="239"/>
        <v>1213.7800</v>
      </c>
      <c r="T408" s="10">
        <v>28650</v>
      </c>
      <c r="U408" s="10">
        <v>1444</v>
      </c>
      <c r="V408" s="10" t="str">
        <f t="shared" si="247"/>
        <v>Printing Stationery &amp; Off Supp</v>
      </c>
      <c r="W408" s="10" t="str">
        <f t="shared" si="248"/>
        <v>Supplies and Services</v>
      </c>
      <c r="X408" s="10" t="str">
        <f>VLOOKUP(U408,'[1]Account code lookup'!A:B,2,0)</f>
        <v>Stationery</v>
      </c>
      <c r="Z408" s="10" t="str">
        <f t="shared" si="259"/>
        <v>Regeneration and Housing</v>
      </c>
      <c r="AA408" s="10" t="str">
        <f t="shared" si="260"/>
        <v>Commercial Development</v>
      </c>
      <c r="AB408" s="10" t="str">
        <f t="shared" si="261"/>
        <v>2cdb</v>
      </c>
      <c r="AD408" s="10" t="str">
        <f t="shared" si="262"/>
        <v>cdb02</v>
      </c>
      <c r="AE408" s="10" t="str">
        <f t="shared" si="240"/>
        <v>Finance &amp; Procurement / Head of Finance &amp; Procurement</v>
      </c>
      <c r="AG408" s="10" t="str">
        <f t="shared" si="263"/>
        <v>28650/1444</v>
      </c>
      <c r="AI408" s="10" t="str">
        <f t="shared" si="249"/>
        <v>14suse</v>
      </c>
      <c r="AJ408" s="15" t="str">
        <f>"LYRECO A5 RULED MANUSCRIPT BOOK - 96 SHEETS"</f>
        <v>LYRECO A5 RULED MANUSCRIPT BOOK - 96 SHEETS</v>
      </c>
      <c r="AK408" s="10" t="str">
        <f t="shared" si="250"/>
        <v>Revenue</v>
      </c>
      <c r="AL408" s="10" t="str">
        <f>""</f>
        <v/>
      </c>
      <c r="AM408" s="10" t="str">
        <f>""</f>
        <v/>
      </c>
      <c r="AN408" s="10" t="str">
        <f>""</f>
        <v/>
      </c>
      <c r="AO408" s="10" t="str">
        <f>""</f>
        <v/>
      </c>
    </row>
    <row r="409" spans="1:41" s="10" customFormat="1" ht="409.6">
      <c r="A409" s="9"/>
      <c r="B409" s="9"/>
      <c r="C409" s="9"/>
      <c r="D409" s="10" t="str">
        <f>"34804"</f>
        <v>34804</v>
      </c>
      <c r="E409" s="11" t="str">
        <f>""</f>
        <v/>
      </c>
      <c r="F409" s="11" t="str">
        <f t="shared" si="231"/>
        <v>372418</v>
      </c>
      <c r="G409" s="11" t="str">
        <f t="shared" si="232"/>
        <v>2017toJAN</v>
      </c>
      <c r="H409" s="11" t="str">
        <f t="shared" si="233"/>
        <v>CRSP06B</v>
      </c>
      <c r="I409" s="11" t="str">
        <f t="shared" si="234"/>
        <v>34</v>
      </c>
      <c r="J409" s="11" t="str">
        <f t="shared" si="235"/>
        <v>Creditor</v>
      </c>
      <c r="K409" s="11" t="str">
        <f t="shared" si="245"/>
        <v>CS000551</v>
      </c>
      <c r="L409" s="10" t="str">
        <f t="shared" si="246"/>
        <v>Lyreco UK Ltd</v>
      </c>
      <c r="M409" s="12" t="str">
        <f t="shared" si="236"/>
        <v>27/01/2017 00:00:00</v>
      </c>
      <c r="N409" s="12">
        <v>42762</v>
      </c>
      <c r="O409" s="10" t="str">
        <f t="shared" si="237"/>
        <v>C007779</v>
      </c>
      <c r="P409" s="13">
        <v>0.51</v>
      </c>
      <c r="Q409" s="11" t="str">
        <f>"0.5100"</f>
        <v>0.5100</v>
      </c>
      <c r="R409" s="10" t="str">
        <f t="shared" si="238"/>
        <v>C0004586</v>
      </c>
      <c r="S409" s="14" t="str">
        <f t="shared" si="239"/>
        <v>1213.7800</v>
      </c>
      <c r="T409" s="10">
        <v>28650</v>
      </c>
      <c r="U409" s="10">
        <v>1444</v>
      </c>
      <c r="V409" s="10" t="str">
        <f t="shared" si="247"/>
        <v>Printing Stationery &amp; Off Supp</v>
      </c>
      <c r="W409" s="10" t="str">
        <f t="shared" si="248"/>
        <v>Supplies and Services</v>
      </c>
      <c r="X409" s="10" t="str">
        <f>VLOOKUP(U409,'[1]Account code lookup'!A:B,2,0)</f>
        <v>Stationery</v>
      </c>
      <c r="Z409" s="10" t="str">
        <f t="shared" si="259"/>
        <v>Regeneration and Housing</v>
      </c>
      <c r="AA409" s="10" t="str">
        <f t="shared" si="260"/>
        <v>Commercial Development</v>
      </c>
      <c r="AB409" s="10" t="str">
        <f t="shared" si="261"/>
        <v>2cdb</v>
      </c>
      <c r="AD409" s="10" t="str">
        <f t="shared" si="262"/>
        <v>cdb02</v>
      </c>
      <c r="AE409" s="10" t="str">
        <f t="shared" si="240"/>
        <v>Finance &amp; Procurement / Head of Finance &amp; Procurement</v>
      </c>
      <c r="AG409" s="10" t="str">
        <f t="shared" si="263"/>
        <v>28650/1444</v>
      </c>
      <c r="AI409" s="10" t="str">
        <f t="shared" si="249"/>
        <v>14suse</v>
      </c>
      <c r="AJ409" s="15" t="str">
        <f>"LYRECO BLACK NO.26/6 PLASTIC FULL STRIP STAPLER - 20 SHEET CAPACITY"</f>
        <v>LYRECO BLACK NO.26/6 PLASTIC FULL STRIP STAPLER - 20 SHEET CAPACITY</v>
      </c>
      <c r="AK409" s="10" t="str">
        <f t="shared" si="250"/>
        <v>Revenue</v>
      </c>
      <c r="AL409" s="10" t="str">
        <f>""</f>
        <v/>
      </c>
      <c r="AM409" s="10" t="str">
        <f>""</f>
        <v/>
      </c>
      <c r="AN409" s="10" t="str">
        <f>""</f>
        <v/>
      </c>
      <c r="AO409" s="10" t="str">
        <f>""</f>
        <v/>
      </c>
    </row>
    <row r="410" spans="1:41" s="10" customFormat="1" ht="409.6">
      <c r="A410" s="9"/>
      <c r="B410" s="9"/>
      <c r="C410" s="9"/>
      <c r="D410" s="10" t="str">
        <f>"34914"</f>
        <v>34914</v>
      </c>
      <c r="E410" s="11" t="str">
        <f>""</f>
        <v/>
      </c>
      <c r="F410" s="11" t="str">
        <f t="shared" si="231"/>
        <v>372418</v>
      </c>
      <c r="G410" s="11" t="str">
        <f t="shared" si="232"/>
        <v>2017toJAN</v>
      </c>
      <c r="H410" s="11" t="str">
        <f t="shared" si="233"/>
        <v>CRSP06B</v>
      </c>
      <c r="I410" s="11" t="str">
        <f t="shared" si="234"/>
        <v>34</v>
      </c>
      <c r="J410" s="11" t="str">
        <f t="shared" si="235"/>
        <v>Creditor</v>
      </c>
      <c r="K410" s="11" t="str">
        <f t="shared" si="245"/>
        <v>CS000551</v>
      </c>
      <c r="L410" s="10" t="str">
        <f t="shared" si="246"/>
        <v>Lyreco UK Ltd</v>
      </c>
      <c r="M410" s="12" t="str">
        <f t="shared" si="236"/>
        <v>27/01/2017 00:00:00</v>
      </c>
      <c r="N410" s="12">
        <v>42762</v>
      </c>
      <c r="O410" s="10" t="str">
        <f t="shared" si="237"/>
        <v>C007779</v>
      </c>
      <c r="P410" s="13">
        <v>1.35</v>
      </c>
      <c r="Q410" s="11" t="str">
        <f>"1.3500"</f>
        <v>1.3500</v>
      </c>
      <c r="R410" s="10" t="str">
        <f t="shared" si="238"/>
        <v>C0004586</v>
      </c>
      <c r="S410" s="14" t="str">
        <f t="shared" si="239"/>
        <v>1213.7800</v>
      </c>
      <c r="T410" s="10">
        <v>28650</v>
      </c>
      <c r="U410" s="10">
        <v>1444</v>
      </c>
      <c r="V410" s="10" t="str">
        <f t="shared" si="247"/>
        <v>Printing Stationery &amp; Off Supp</v>
      </c>
      <c r="W410" s="10" t="str">
        <f t="shared" si="248"/>
        <v>Supplies and Services</v>
      </c>
      <c r="X410" s="10" t="str">
        <f>VLOOKUP(U410,'[1]Account code lookup'!A:B,2,0)</f>
        <v>Stationery</v>
      </c>
      <c r="Z410" s="10" t="str">
        <f t="shared" si="259"/>
        <v>Regeneration and Housing</v>
      </c>
      <c r="AA410" s="10" t="str">
        <f t="shared" si="260"/>
        <v>Commercial Development</v>
      </c>
      <c r="AB410" s="10" t="str">
        <f t="shared" si="261"/>
        <v>2cdb</v>
      </c>
      <c r="AD410" s="10" t="str">
        <f t="shared" si="262"/>
        <v>cdb02</v>
      </c>
      <c r="AE410" s="10" t="str">
        <f t="shared" si="240"/>
        <v>Finance &amp; Procurement / Head of Finance &amp; Procurement</v>
      </c>
      <c r="AG410" s="10" t="str">
        <f t="shared" si="263"/>
        <v>28650/1444</v>
      </c>
      <c r="AI410" s="10" t="str">
        <f t="shared" si="249"/>
        <v>14suse</v>
      </c>
      <c r="AJ410" s="15" t="str">
        <f>"LYRECO BUDGET HB ERASER TIPPED PENCILS - BOX OF 12"</f>
        <v>LYRECO BUDGET HB ERASER TIPPED PENCILS - BOX OF 12</v>
      </c>
      <c r="AK410" s="10" t="str">
        <f t="shared" si="250"/>
        <v>Revenue</v>
      </c>
      <c r="AL410" s="10" t="str">
        <f>""</f>
        <v/>
      </c>
      <c r="AM410" s="10" t="str">
        <f>""</f>
        <v/>
      </c>
      <c r="AN410" s="10" t="str">
        <f>""</f>
        <v/>
      </c>
      <c r="AO410" s="10" t="str">
        <f>""</f>
        <v/>
      </c>
    </row>
    <row r="411" spans="1:41" s="10" customFormat="1" ht="409.6">
      <c r="A411" s="9"/>
      <c r="B411" s="9"/>
      <c r="C411" s="9"/>
      <c r="D411" s="10" t="str">
        <f>"35147"</f>
        <v>35147</v>
      </c>
      <c r="E411" s="11" t="str">
        <f>""</f>
        <v/>
      </c>
      <c r="F411" s="11" t="str">
        <f t="shared" si="231"/>
        <v>372418</v>
      </c>
      <c r="G411" s="11" t="str">
        <f t="shared" si="232"/>
        <v>2017toJAN</v>
      </c>
      <c r="H411" s="11" t="str">
        <f t="shared" si="233"/>
        <v>CRSP06B</v>
      </c>
      <c r="I411" s="11" t="str">
        <f t="shared" si="234"/>
        <v>34</v>
      </c>
      <c r="J411" s="11" t="str">
        <f t="shared" si="235"/>
        <v>Creditor</v>
      </c>
      <c r="K411" s="11" t="str">
        <f t="shared" si="245"/>
        <v>CS000551</v>
      </c>
      <c r="L411" s="10" t="str">
        <f t="shared" si="246"/>
        <v>Lyreco UK Ltd</v>
      </c>
      <c r="M411" s="12" t="str">
        <f t="shared" si="236"/>
        <v>27/01/2017 00:00:00</v>
      </c>
      <c r="N411" s="12">
        <v>42762</v>
      </c>
      <c r="O411" s="10" t="str">
        <f t="shared" si="237"/>
        <v>C007779</v>
      </c>
      <c r="P411" s="13">
        <v>0.5</v>
      </c>
      <c r="Q411" s="11" t="str">
        <f>"0.5000"</f>
        <v>0.5000</v>
      </c>
      <c r="R411" s="10" t="str">
        <f t="shared" si="238"/>
        <v>C0004586</v>
      </c>
      <c r="S411" s="14" t="str">
        <f t="shared" si="239"/>
        <v>1213.7800</v>
      </c>
      <c r="T411" s="10">
        <v>28650</v>
      </c>
      <c r="U411" s="10">
        <v>1444</v>
      </c>
      <c r="V411" s="10" t="str">
        <f t="shared" si="247"/>
        <v>Printing Stationery &amp; Off Supp</v>
      </c>
      <c r="W411" s="10" t="str">
        <f t="shared" si="248"/>
        <v>Supplies and Services</v>
      </c>
      <c r="X411" s="10" t="str">
        <f>VLOOKUP(U411,'[1]Account code lookup'!A:B,2,0)</f>
        <v>Stationery</v>
      </c>
      <c r="Z411" s="10" t="str">
        <f t="shared" si="259"/>
        <v>Regeneration and Housing</v>
      </c>
      <c r="AA411" s="10" t="str">
        <f t="shared" si="260"/>
        <v>Commercial Development</v>
      </c>
      <c r="AB411" s="10" t="str">
        <f t="shared" si="261"/>
        <v>2cdb</v>
      </c>
      <c r="AD411" s="10" t="str">
        <f t="shared" si="262"/>
        <v>cdb02</v>
      </c>
      <c r="AE411" s="10" t="str">
        <f t="shared" si="240"/>
        <v>Finance &amp; Procurement / Head of Finance &amp; Procurement</v>
      </c>
      <c r="AG411" s="10" t="str">
        <f t="shared" si="263"/>
        <v>28650/1444</v>
      </c>
      <c r="AI411" s="10" t="str">
        <f t="shared" si="249"/>
        <v>14suse</v>
      </c>
      <c r="AJ411" s="15" t="str">
        <f>"LYRECO BUDGET YELLOW HIGHLIGHTERS - PACK OF 10"</f>
        <v>LYRECO BUDGET YELLOW HIGHLIGHTERS - PACK OF 10</v>
      </c>
      <c r="AK411" s="10" t="str">
        <f t="shared" si="250"/>
        <v>Revenue</v>
      </c>
      <c r="AL411" s="10" t="str">
        <f>""</f>
        <v/>
      </c>
      <c r="AM411" s="10" t="str">
        <f>""</f>
        <v/>
      </c>
      <c r="AN411" s="10" t="str">
        <f>""</f>
        <v/>
      </c>
      <c r="AO411" s="10" t="str">
        <f>""</f>
        <v/>
      </c>
    </row>
    <row r="412" spans="1:41" s="10" customFormat="1" ht="409.6">
      <c r="A412" s="9"/>
      <c r="B412" s="9"/>
      <c r="C412" s="9"/>
      <c r="D412" s="10" t="str">
        <f>"27707"</f>
        <v>27707</v>
      </c>
      <c r="E412" s="11" t="str">
        <f>""</f>
        <v/>
      </c>
      <c r="F412" s="11" t="str">
        <f t="shared" si="231"/>
        <v>372418</v>
      </c>
      <c r="G412" s="11" t="str">
        <f t="shared" si="232"/>
        <v>2017toJAN</v>
      </c>
      <c r="H412" s="11" t="str">
        <f t="shared" si="233"/>
        <v>CRSP06B</v>
      </c>
      <c r="I412" s="11" t="str">
        <f t="shared" si="234"/>
        <v>34</v>
      </c>
      <c r="J412" s="11" t="str">
        <f t="shared" si="235"/>
        <v>Creditor</v>
      </c>
      <c r="K412" s="11" t="str">
        <f t="shared" si="245"/>
        <v>CS000551</v>
      </c>
      <c r="L412" s="10" t="str">
        <f t="shared" si="246"/>
        <v>Lyreco UK Ltd</v>
      </c>
      <c r="M412" s="12" t="str">
        <f t="shared" si="236"/>
        <v>27/01/2017 00:00:00</v>
      </c>
      <c r="N412" s="12">
        <v>42762</v>
      </c>
      <c r="O412" s="10" t="str">
        <f t="shared" si="237"/>
        <v>C007779</v>
      </c>
      <c r="P412" s="13">
        <v>5.85</v>
      </c>
      <c r="Q412" s="11" t="str">
        <f>"5.8500"</f>
        <v>5.8500</v>
      </c>
      <c r="R412" s="10" t="str">
        <f t="shared" si="238"/>
        <v>C0004586</v>
      </c>
      <c r="S412" s="14" t="str">
        <f t="shared" si="239"/>
        <v>1213.7800</v>
      </c>
      <c r="T412" s="10">
        <v>28650</v>
      </c>
      <c r="U412" s="10">
        <v>1444</v>
      </c>
      <c r="V412" s="10" t="str">
        <f t="shared" si="247"/>
        <v>Printing Stationery &amp; Off Supp</v>
      </c>
      <c r="W412" s="10" t="str">
        <f t="shared" si="248"/>
        <v>Supplies and Services</v>
      </c>
      <c r="X412" s="10" t="str">
        <f>VLOOKUP(U412,'[1]Account code lookup'!A:B,2,0)</f>
        <v>Stationery</v>
      </c>
      <c r="Z412" s="10" t="str">
        <f t="shared" si="259"/>
        <v>Regeneration and Housing</v>
      </c>
      <c r="AA412" s="10" t="str">
        <f t="shared" si="260"/>
        <v>Commercial Development</v>
      </c>
      <c r="AB412" s="10" t="str">
        <f t="shared" si="261"/>
        <v>2cdb</v>
      </c>
      <c r="AD412" s="10" t="str">
        <f t="shared" si="262"/>
        <v>cdb02</v>
      </c>
      <c r="AE412" s="10" t="str">
        <f t="shared" si="240"/>
        <v>Finance &amp; Procurement / Head of Finance &amp; Procurement</v>
      </c>
      <c r="AG412" s="10" t="str">
        <f t="shared" si="263"/>
        <v>28650/1444</v>
      </c>
      <c r="AI412" s="10" t="str">
        <f t="shared" si="249"/>
        <v>14suse</v>
      </c>
      <c r="AJ412" s="15" t="str">
        <f>"LYRECO DESK MAT PAD REFILL - 25 SHEETS"</f>
        <v>LYRECO DESK MAT PAD REFILL - 25 SHEETS</v>
      </c>
      <c r="AK412" s="10" t="str">
        <f t="shared" si="250"/>
        <v>Revenue</v>
      </c>
      <c r="AL412" s="10" t="str">
        <f>""</f>
        <v/>
      </c>
      <c r="AM412" s="10" t="str">
        <f>""</f>
        <v/>
      </c>
      <c r="AN412" s="10" t="str">
        <f>""</f>
        <v/>
      </c>
      <c r="AO412" s="10" t="str">
        <f>""</f>
        <v/>
      </c>
    </row>
    <row r="413" spans="1:41" s="10" customFormat="1" ht="409.6">
      <c r="A413" s="9"/>
      <c r="B413" s="9"/>
      <c r="C413" s="9"/>
      <c r="D413" s="10" t="str">
        <f>"28201"</f>
        <v>28201</v>
      </c>
      <c r="E413" s="11" t="str">
        <f>""</f>
        <v/>
      </c>
      <c r="F413" s="11" t="str">
        <f t="shared" si="231"/>
        <v>372418</v>
      </c>
      <c r="G413" s="11" t="str">
        <f t="shared" si="232"/>
        <v>2017toJAN</v>
      </c>
      <c r="H413" s="11" t="str">
        <f t="shared" si="233"/>
        <v>CRSP06B</v>
      </c>
      <c r="I413" s="11" t="str">
        <f t="shared" si="234"/>
        <v>34</v>
      </c>
      <c r="J413" s="11" t="str">
        <f t="shared" si="235"/>
        <v>Creditor</v>
      </c>
      <c r="K413" s="11" t="str">
        <f t="shared" si="245"/>
        <v>CS000551</v>
      </c>
      <c r="L413" s="10" t="str">
        <f t="shared" si="246"/>
        <v>Lyreco UK Ltd</v>
      </c>
      <c r="M413" s="12" t="str">
        <f t="shared" si="236"/>
        <v>27/01/2017 00:00:00</v>
      </c>
      <c r="N413" s="12">
        <v>42762</v>
      </c>
      <c r="O413" s="10" t="str">
        <f t="shared" si="237"/>
        <v>C007779</v>
      </c>
      <c r="P413" s="13">
        <v>0.67</v>
      </c>
      <c r="Q413" s="11" t="str">
        <f>"0.6700"</f>
        <v>0.6700</v>
      </c>
      <c r="R413" s="10" t="str">
        <f t="shared" si="238"/>
        <v>C0004586</v>
      </c>
      <c r="S413" s="14" t="str">
        <f t="shared" si="239"/>
        <v>1213.7800</v>
      </c>
      <c r="T413" s="10">
        <v>28650</v>
      </c>
      <c r="U413" s="10">
        <v>1444</v>
      </c>
      <c r="V413" s="10" t="str">
        <f t="shared" si="247"/>
        <v>Printing Stationery &amp; Off Supp</v>
      </c>
      <c r="W413" s="10" t="str">
        <f t="shared" si="248"/>
        <v>Supplies and Services</v>
      </c>
      <c r="X413" s="10" t="str">
        <f>VLOOKUP(U413,'[1]Account code lookup'!A:B,2,0)</f>
        <v>Stationery</v>
      </c>
      <c r="Z413" s="10" t="str">
        <f t="shared" si="259"/>
        <v>Regeneration and Housing</v>
      </c>
      <c r="AA413" s="10" t="str">
        <f t="shared" si="260"/>
        <v>Commercial Development</v>
      </c>
      <c r="AB413" s="10" t="str">
        <f t="shared" si="261"/>
        <v>2cdb</v>
      </c>
      <c r="AD413" s="10" t="str">
        <f t="shared" si="262"/>
        <v>cdb02</v>
      </c>
      <c r="AE413" s="10" t="str">
        <f t="shared" si="240"/>
        <v>Finance &amp; Procurement / Head of Finance &amp; Procurement</v>
      </c>
      <c r="AG413" s="10" t="str">
        <f t="shared" si="263"/>
        <v>28650/1444</v>
      </c>
      <c r="AI413" s="10" t="str">
        <f t="shared" si="249"/>
        <v>14suse</v>
      </c>
      <c r="AJ413" s="15" t="str">
        <f>"LYRECO GLUE STICK - STANDARD 10G"</f>
        <v>LYRECO GLUE STICK - STANDARD 10G</v>
      </c>
      <c r="AK413" s="10" t="str">
        <f t="shared" si="250"/>
        <v>Revenue</v>
      </c>
      <c r="AL413" s="10" t="str">
        <f>""</f>
        <v/>
      </c>
      <c r="AM413" s="10" t="str">
        <f>""</f>
        <v/>
      </c>
      <c r="AN413" s="10" t="str">
        <f>""</f>
        <v/>
      </c>
      <c r="AO413" s="10" t="str">
        <f>""</f>
        <v/>
      </c>
    </row>
    <row r="414" spans="1:41" s="10" customFormat="1" ht="409.6">
      <c r="A414" s="9"/>
      <c r="B414" s="9"/>
      <c r="C414" s="9"/>
      <c r="D414" s="10" t="str">
        <f>"28727"</f>
        <v>28727</v>
      </c>
      <c r="E414" s="11" t="str">
        <f>""</f>
        <v/>
      </c>
      <c r="F414" s="11" t="str">
        <f t="shared" si="231"/>
        <v>372418</v>
      </c>
      <c r="G414" s="11" t="str">
        <f t="shared" si="232"/>
        <v>2017toJAN</v>
      </c>
      <c r="H414" s="11" t="str">
        <f t="shared" si="233"/>
        <v>CRSP06B</v>
      </c>
      <c r="I414" s="11" t="str">
        <f t="shared" si="234"/>
        <v>34</v>
      </c>
      <c r="J414" s="11" t="str">
        <f t="shared" si="235"/>
        <v>Creditor</v>
      </c>
      <c r="K414" s="11" t="str">
        <f t="shared" si="245"/>
        <v>CS000551</v>
      </c>
      <c r="L414" s="10" t="str">
        <f t="shared" si="246"/>
        <v>Lyreco UK Ltd</v>
      </c>
      <c r="M414" s="12" t="str">
        <f t="shared" si="236"/>
        <v>27/01/2017 00:00:00</v>
      </c>
      <c r="N414" s="12">
        <v>42762</v>
      </c>
      <c r="O414" s="10" t="str">
        <f t="shared" si="237"/>
        <v>C007779</v>
      </c>
      <c r="P414" s="13">
        <v>0.25</v>
      </c>
      <c r="Q414" s="11" t="str">
        <f>"0.2500"</f>
        <v>0.2500</v>
      </c>
      <c r="R414" s="10" t="str">
        <f t="shared" si="238"/>
        <v>C0004586</v>
      </c>
      <c r="S414" s="14" t="str">
        <f t="shared" si="239"/>
        <v>1213.7800</v>
      </c>
      <c r="T414" s="10">
        <v>28650</v>
      </c>
      <c r="U414" s="10">
        <v>1444</v>
      </c>
      <c r="V414" s="10" t="str">
        <f t="shared" si="247"/>
        <v>Printing Stationery &amp; Off Supp</v>
      </c>
      <c r="W414" s="10" t="str">
        <f t="shared" si="248"/>
        <v>Supplies and Services</v>
      </c>
      <c r="X414" s="10" t="str">
        <f>VLOOKUP(U414,'[1]Account code lookup'!A:B,2,0)</f>
        <v>Stationery</v>
      </c>
      <c r="Z414" s="10" t="str">
        <f t="shared" si="259"/>
        <v>Regeneration and Housing</v>
      </c>
      <c r="AA414" s="10" t="str">
        <f t="shared" si="260"/>
        <v>Commercial Development</v>
      </c>
      <c r="AB414" s="10" t="str">
        <f t="shared" si="261"/>
        <v>2cdb</v>
      </c>
      <c r="AD414" s="10" t="str">
        <f t="shared" si="262"/>
        <v>cdb02</v>
      </c>
      <c r="AE414" s="10" t="str">
        <f t="shared" si="240"/>
        <v>Finance &amp; Procurement / Head of Finance &amp; Procurement</v>
      </c>
      <c r="AG414" s="10" t="str">
        <f t="shared" si="263"/>
        <v>28650/1444</v>
      </c>
      <c r="AI414" s="10" t="str">
        <f t="shared" si="249"/>
        <v>14suse</v>
      </c>
      <c r="AJ414" s="15" t="str">
        <f>"LYRECO PLAIN YELLOW STICKY NOTES 51 X 38MM - PACK OF 12 PADS"</f>
        <v>LYRECO PLAIN YELLOW STICKY NOTES 51 X 38MM - PACK OF 12 PADS</v>
      </c>
      <c r="AK414" s="10" t="str">
        <f t="shared" si="250"/>
        <v>Revenue</v>
      </c>
      <c r="AL414" s="10" t="str">
        <f>""</f>
        <v/>
      </c>
      <c r="AM414" s="10" t="str">
        <f>""</f>
        <v/>
      </c>
      <c r="AN414" s="10" t="str">
        <f>""</f>
        <v/>
      </c>
      <c r="AO414" s="10" t="str">
        <f>""</f>
        <v/>
      </c>
    </row>
    <row r="415" spans="1:41" s="10" customFormat="1" ht="409.6">
      <c r="A415" s="9"/>
      <c r="B415" s="9"/>
      <c r="C415" s="9"/>
      <c r="D415" s="10" t="str">
        <f>"28903"</f>
        <v>28903</v>
      </c>
      <c r="E415" s="11" t="str">
        <f>""</f>
        <v/>
      </c>
      <c r="F415" s="11" t="str">
        <f t="shared" ref="F415:F478" si="264">"372418"</f>
        <v>372418</v>
      </c>
      <c r="G415" s="11" t="str">
        <f t="shared" ref="G415:G478" si="265">"2017toJAN"</f>
        <v>2017toJAN</v>
      </c>
      <c r="H415" s="11" t="str">
        <f t="shared" ref="H415:H478" si="266">"CRSP06B"</f>
        <v>CRSP06B</v>
      </c>
      <c r="I415" s="11" t="str">
        <f t="shared" ref="I415:I478" si="267">"34"</f>
        <v>34</v>
      </c>
      <c r="J415" s="11" t="str">
        <f t="shared" ref="J415:J478" si="268">"Creditor"</f>
        <v>Creditor</v>
      </c>
      <c r="K415" s="11" t="str">
        <f t="shared" si="245"/>
        <v>CS000551</v>
      </c>
      <c r="L415" s="10" t="str">
        <f t="shared" si="246"/>
        <v>Lyreco UK Ltd</v>
      </c>
      <c r="M415" s="12" t="str">
        <f t="shared" si="236"/>
        <v>27/01/2017 00:00:00</v>
      </c>
      <c r="N415" s="12">
        <v>42762</v>
      </c>
      <c r="O415" s="10" t="str">
        <f t="shared" si="237"/>
        <v>C007779</v>
      </c>
      <c r="P415" s="13">
        <v>0.36</v>
      </c>
      <c r="Q415" s="11" t="str">
        <f>"0.3600"</f>
        <v>0.3600</v>
      </c>
      <c r="R415" s="10" t="str">
        <f t="shared" si="238"/>
        <v>C0004586</v>
      </c>
      <c r="S415" s="14" t="str">
        <f t="shared" si="239"/>
        <v>1213.7800</v>
      </c>
      <c r="T415" s="10">
        <v>28650</v>
      </c>
      <c r="U415" s="10">
        <v>1444</v>
      </c>
      <c r="V415" s="10" t="str">
        <f t="shared" si="247"/>
        <v>Printing Stationery &amp; Off Supp</v>
      </c>
      <c r="W415" s="10" t="str">
        <f t="shared" si="248"/>
        <v>Supplies and Services</v>
      </c>
      <c r="X415" s="10" t="str">
        <f>VLOOKUP(U415,'[1]Account code lookup'!A:B,2,0)</f>
        <v>Stationery</v>
      </c>
      <c r="Z415" s="10" t="str">
        <f t="shared" si="259"/>
        <v>Regeneration and Housing</v>
      </c>
      <c r="AA415" s="10" t="str">
        <f t="shared" si="260"/>
        <v>Commercial Development</v>
      </c>
      <c r="AB415" s="10" t="str">
        <f t="shared" si="261"/>
        <v>2cdb</v>
      </c>
      <c r="AD415" s="10" t="str">
        <f t="shared" si="262"/>
        <v>cdb02</v>
      </c>
      <c r="AE415" s="10" t="str">
        <f t="shared" si="240"/>
        <v>Finance &amp; Procurement / Head of Finance &amp; Procurement</v>
      </c>
      <c r="AG415" s="10" t="str">
        <f t="shared" si="263"/>
        <v>28650/1444</v>
      </c>
      <c r="AI415" s="10" t="str">
        <f t="shared" si="249"/>
        <v>14suse</v>
      </c>
      <c r="AJ415" s="15" t="str">
        <f>"LYRECO PLAIN YELLOW STICKY NOTES 76 X 76MM - PACK OF 12 PADS"</f>
        <v>LYRECO PLAIN YELLOW STICKY NOTES 76 X 76MM - PACK OF 12 PADS</v>
      </c>
      <c r="AK415" s="10" t="str">
        <f t="shared" si="250"/>
        <v>Revenue</v>
      </c>
      <c r="AL415" s="10" t="str">
        <f>""</f>
        <v/>
      </c>
      <c r="AM415" s="10" t="str">
        <f>""</f>
        <v/>
      </c>
      <c r="AN415" s="10" t="str">
        <f>""</f>
        <v/>
      </c>
      <c r="AO415" s="10" t="str">
        <f>""</f>
        <v/>
      </c>
    </row>
    <row r="416" spans="1:41" s="10" customFormat="1" ht="409.6">
      <c r="A416" s="9"/>
      <c r="B416" s="9"/>
      <c r="C416" s="9"/>
      <c r="D416" s="10" t="str">
        <f>"28904"</f>
        <v>28904</v>
      </c>
      <c r="E416" s="11" t="str">
        <f>""</f>
        <v/>
      </c>
      <c r="F416" s="11" t="str">
        <f t="shared" si="264"/>
        <v>372418</v>
      </c>
      <c r="G416" s="11" t="str">
        <f t="shared" si="265"/>
        <v>2017toJAN</v>
      </c>
      <c r="H416" s="11" t="str">
        <f t="shared" si="266"/>
        <v>CRSP06B</v>
      </c>
      <c r="I416" s="11" t="str">
        <f t="shared" si="267"/>
        <v>34</v>
      </c>
      <c r="J416" s="11" t="str">
        <f t="shared" si="268"/>
        <v>Creditor</v>
      </c>
      <c r="K416" s="11" t="str">
        <f t="shared" si="245"/>
        <v>CS000551</v>
      </c>
      <c r="L416" s="10" t="str">
        <f t="shared" si="246"/>
        <v>Lyreco UK Ltd</v>
      </c>
      <c r="M416" s="12" t="str">
        <f t="shared" si="236"/>
        <v>27/01/2017 00:00:00</v>
      </c>
      <c r="N416" s="12">
        <v>42762</v>
      </c>
      <c r="O416" s="10" t="str">
        <f t="shared" si="237"/>
        <v>C007779</v>
      </c>
      <c r="P416" s="13">
        <v>1.44</v>
      </c>
      <c r="Q416" s="11" t="str">
        <f>"1.4400"</f>
        <v>1.4400</v>
      </c>
      <c r="R416" s="10" t="str">
        <f t="shared" si="238"/>
        <v>C0004586</v>
      </c>
      <c r="S416" s="14" t="str">
        <f t="shared" si="239"/>
        <v>1213.7800</v>
      </c>
      <c r="T416" s="10">
        <v>28650</v>
      </c>
      <c r="U416" s="10">
        <v>1444</v>
      </c>
      <c r="V416" s="10" t="str">
        <f t="shared" si="247"/>
        <v>Printing Stationery &amp; Off Supp</v>
      </c>
      <c r="W416" s="10" t="str">
        <f t="shared" si="248"/>
        <v>Supplies and Services</v>
      </c>
      <c r="X416" s="10" t="str">
        <f>VLOOKUP(U416,'[1]Account code lookup'!A:B,2,0)</f>
        <v>Stationery</v>
      </c>
      <c r="Z416" s="10" t="str">
        <f t="shared" si="259"/>
        <v>Regeneration and Housing</v>
      </c>
      <c r="AA416" s="10" t="str">
        <f t="shared" si="260"/>
        <v>Commercial Development</v>
      </c>
      <c r="AB416" s="10" t="str">
        <f t="shared" si="261"/>
        <v>2cdb</v>
      </c>
      <c r="AD416" s="10" t="str">
        <f t="shared" si="262"/>
        <v>cdb02</v>
      </c>
      <c r="AE416" s="10" t="str">
        <f t="shared" si="240"/>
        <v>Finance &amp; Procurement / Head of Finance &amp; Procurement</v>
      </c>
      <c r="AG416" s="10" t="str">
        <f t="shared" si="263"/>
        <v>28650/1444</v>
      </c>
      <c r="AI416" s="10" t="str">
        <f t="shared" si="249"/>
        <v>14suse</v>
      </c>
      <c r="AJ416" s="15" t="str">
        <f>"LYRECO RETRACTABLE GEL INK BLACK PENS 0.5MM LINE WIDTH - BOX OF 12"</f>
        <v>LYRECO RETRACTABLE GEL INK BLACK PENS 0.5MM LINE WIDTH - BOX OF 12</v>
      </c>
      <c r="AK416" s="10" t="str">
        <f t="shared" si="250"/>
        <v>Revenue</v>
      </c>
      <c r="AL416" s="10" t="str">
        <f>""</f>
        <v/>
      </c>
      <c r="AM416" s="10" t="str">
        <f>""</f>
        <v/>
      </c>
      <c r="AN416" s="10" t="str">
        <f>""</f>
        <v/>
      </c>
      <c r="AO416" s="10" t="str">
        <f>""</f>
        <v/>
      </c>
    </row>
    <row r="417" spans="1:41" s="10" customFormat="1" ht="409.6">
      <c r="A417" s="9"/>
      <c r="B417" s="9"/>
      <c r="C417" s="9"/>
      <c r="D417" s="10" t="str">
        <f>"29512"</f>
        <v>29512</v>
      </c>
      <c r="E417" s="11" t="str">
        <f>""</f>
        <v/>
      </c>
      <c r="F417" s="11" t="str">
        <f t="shared" si="264"/>
        <v>372418</v>
      </c>
      <c r="G417" s="11" t="str">
        <f t="shared" si="265"/>
        <v>2017toJAN</v>
      </c>
      <c r="H417" s="11" t="str">
        <f t="shared" si="266"/>
        <v>CRSP06B</v>
      </c>
      <c r="I417" s="11" t="str">
        <f t="shared" si="267"/>
        <v>34</v>
      </c>
      <c r="J417" s="11" t="str">
        <f t="shared" si="268"/>
        <v>Creditor</v>
      </c>
      <c r="K417" s="11" t="str">
        <f t="shared" si="245"/>
        <v>CS000551</v>
      </c>
      <c r="L417" s="10" t="str">
        <f t="shared" si="246"/>
        <v>Lyreco UK Ltd</v>
      </c>
      <c r="M417" s="12" t="str">
        <f t="shared" si="236"/>
        <v>27/01/2017 00:00:00</v>
      </c>
      <c r="N417" s="12">
        <v>42762</v>
      </c>
      <c r="O417" s="10" t="str">
        <f t="shared" si="237"/>
        <v>C007779</v>
      </c>
      <c r="P417" s="13">
        <v>24.77</v>
      </c>
      <c r="Q417" s="11" t="str">
        <f>"24.7700"</f>
        <v>24.7700</v>
      </c>
      <c r="R417" s="10" t="str">
        <f t="shared" si="238"/>
        <v>C0004586</v>
      </c>
      <c r="S417" s="14" t="str">
        <f t="shared" si="239"/>
        <v>1213.7800</v>
      </c>
      <c r="T417" s="10">
        <v>28650</v>
      </c>
      <c r="U417" s="10">
        <v>1444</v>
      </c>
      <c r="V417" s="10" t="str">
        <f t="shared" si="247"/>
        <v>Printing Stationery &amp; Off Supp</v>
      </c>
      <c r="W417" s="10" t="str">
        <f t="shared" si="248"/>
        <v>Supplies and Services</v>
      </c>
      <c r="X417" s="10" t="str">
        <f>VLOOKUP(U417,'[1]Account code lookup'!A:B,2,0)</f>
        <v>Stationery</v>
      </c>
      <c r="Z417" s="10" t="str">
        <f t="shared" si="259"/>
        <v>Regeneration and Housing</v>
      </c>
      <c r="AA417" s="10" t="str">
        <f t="shared" si="260"/>
        <v>Commercial Development</v>
      </c>
      <c r="AB417" s="10" t="str">
        <f t="shared" si="261"/>
        <v>2cdb</v>
      </c>
      <c r="AD417" s="10" t="str">
        <f t="shared" si="262"/>
        <v>cdb02</v>
      </c>
      <c r="AE417" s="10" t="str">
        <f t="shared" si="240"/>
        <v>Finance &amp; Procurement / Head of Finance &amp; Procurement</v>
      </c>
      <c r="AG417" s="10" t="str">
        <f t="shared" si="263"/>
        <v>28650/1444</v>
      </c>
      <c r="AI417" s="10" t="str">
        <f t="shared" si="249"/>
        <v>14suse</v>
      </c>
      <c r="AJ417" s="15" t="str">
        <f>"MONOLITH LEATHER CONFERENCE FOLDER BLACK"</f>
        <v>MONOLITH LEATHER CONFERENCE FOLDER BLACK</v>
      </c>
      <c r="AK417" s="10" t="str">
        <f t="shared" si="250"/>
        <v>Revenue</v>
      </c>
      <c r="AL417" s="10" t="str">
        <f>""</f>
        <v/>
      </c>
      <c r="AM417" s="10" t="str">
        <f>""</f>
        <v/>
      </c>
      <c r="AN417" s="10" t="str">
        <f>""</f>
        <v/>
      </c>
      <c r="AO417" s="10" t="str">
        <f>""</f>
        <v/>
      </c>
    </row>
    <row r="418" spans="1:41" s="10" customFormat="1" ht="409.6">
      <c r="A418" s="9"/>
      <c r="B418" s="9"/>
      <c r="C418" s="9"/>
      <c r="D418" s="10" t="str">
        <f>"29513"</f>
        <v>29513</v>
      </c>
      <c r="E418" s="11" t="str">
        <f>""</f>
        <v/>
      </c>
      <c r="F418" s="11" t="str">
        <f t="shared" si="264"/>
        <v>372418</v>
      </c>
      <c r="G418" s="11" t="str">
        <f t="shared" si="265"/>
        <v>2017toJAN</v>
      </c>
      <c r="H418" s="11" t="str">
        <f t="shared" si="266"/>
        <v>CRSP06B</v>
      </c>
      <c r="I418" s="11" t="str">
        <f t="shared" si="267"/>
        <v>34</v>
      </c>
      <c r="J418" s="11" t="str">
        <f t="shared" si="268"/>
        <v>Creditor</v>
      </c>
      <c r="K418" s="11" t="str">
        <f t="shared" si="245"/>
        <v>CS000551</v>
      </c>
      <c r="L418" s="10" t="str">
        <f t="shared" si="246"/>
        <v>Lyreco UK Ltd</v>
      </c>
      <c r="M418" s="12" t="str">
        <f t="shared" si="236"/>
        <v>27/01/2017 00:00:00</v>
      </c>
      <c r="N418" s="12">
        <v>42762</v>
      </c>
      <c r="O418" s="10" t="str">
        <f t="shared" si="237"/>
        <v>C007779</v>
      </c>
      <c r="P418" s="13">
        <v>16.2</v>
      </c>
      <c r="Q418" s="11" t="str">
        <f>"16.2000"</f>
        <v>16.2000</v>
      </c>
      <c r="R418" s="10" t="str">
        <f t="shared" si="238"/>
        <v>C0004586</v>
      </c>
      <c r="S418" s="14" t="str">
        <f t="shared" si="239"/>
        <v>1213.7800</v>
      </c>
      <c r="T418" s="10">
        <v>28650</v>
      </c>
      <c r="U418" s="10">
        <v>1444</v>
      </c>
      <c r="V418" s="10" t="str">
        <f t="shared" si="247"/>
        <v>Printing Stationery &amp; Off Supp</v>
      </c>
      <c r="W418" s="10" t="str">
        <f t="shared" si="248"/>
        <v>Supplies and Services</v>
      </c>
      <c r="X418" s="10" t="str">
        <f>VLOOKUP(U418,'[1]Account code lookup'!A:B,2,0)</f>
        <v>Stationery</v>
      </c>
      <c r="Z418" s="10" t="str">
        <f t="shared" si="259"/>
        <v>Regeneration and Housing</v>
      </c>
      <c r="AA418" s="10" t="str">
        <f t="shared" si="260"/>
        <v>Commercial Development</v>
      </c>
      <c r="AB418" s="10" t="str">
        <f t="shared" si="261"/>
        <v>2cdb</v>
      </c>
      <c r="AD418" s="10" t="str">
        <f t="shared" si="262"/>
        <v>cdb02</v>
      </c>
      <c r="AE418" s="10" t="str">
        <f t="shared" si="240"/>
        <v>Finance &amp; Procurement / Head of Finance &amp; Procurement</v>
      </c>
      <c r="AG418" s="10" t="str">
        <f t="shared" si="263"/>
        <v>28650/1444</v>
      </c>
      <c r="AI418" s="10" t="str">
        <f t="shared" si="249"/>
        <v>14suse</v>
      </c>
      <c r="AJ418" s="15" t="str">
        <f>"SHARPIE BULLET TIP BLACK PERMANENT MARKERS - BOX OF 12"</f>
        <v>SHARPIE BULLET TIP BLACK PERMANENT MARKERS - BOX OF 12</v>
      </c>
      <c r="AK418" s="10" t="str">
        <f t="shared" si="250"/>
        <v>Revenue</v>
      </c>
      <c r="AL418" s="10" t="str">
        <f>""</f>
        <v/>
      </c>
      <c r="AM418" s="10" t="str">
        <f>""</f>
        <v/>
      </c>
      <c r="AN418" s="10" t="str">
        <f>""</f>
        <v/>
      </c>
      <c r="AO418" s="10" t="str">
        <f>""</f>
        <v/>
      </c>
    </row>
    <row r="419" spans="1:41" s="10" customFormat="1" ht="409.6">
      <c r="A419" s="9"/>
      <c r="B419" s="9"/>
      <c r="C419" s="9"/>
      <c r="D419" s="10" t="str">
        <f>"29514"</f>
        <v>29514</v>
      </c>
      <c r="E419" s="11" t="str">
        <f>""</f>
        <v/>
      </c>
      <c r="F419" s="11" t="str">
        <f t="shared" si="264"/>
        <v>372418</v>
      </c>
      <c r="G419" s="11" t="str">
        <f t="shared" si="265"/>
        <v>2017toJAN</v>
      </c>
      <c r="H419" s="11" t="str">
        <f t="shared" si="266"/>
        <v>CRSP06B</v>
      </c>
      <c r="I419" s="11" t="str">
        <f t="shared" si="267"/>
        <v>34</v>
      </c>
      <c r="J419" s="11" t="str">
        <f t="shared" si="268"/>
        <v>Creditor</v>
      </c>
      <c r="K419" s="11" t="str">
        <f t="shared" si="245"/>
        <v>CS000551</v>
      </c>
      <c r="L419" s="10" t="str">
        <f t="shared" si="246"/>
        <v>Lyreco UK Ltd</v>
      </c>
      <c r="M419" s="12" t="str">
        <f t="shared" si="236"/>
        <v>27/01/2017 00:00:00</v>
      </c>
      <c r="N419" s="12">
        <v>42762</v>
      </c>
      <c r="O419" s="10" t="str">
        <f t="shared" si="237"/>
        <v>C007779</v>
      </c>
      <c r="P419" s="13">
        <v>0.3</v>
      </c>
      <c r="Q419" s="11" t="str">
        <f>"0.3000"</f>
        <v>0.3000</v>
      </c>
      <c r="R419" s="10" t="str">
        <f t="shared" si="238"/>
        <v>C0004586</v>
      </c>
      <c r="S419" s="14" t="str">
        <f t="shared" si="239"/>
        <v>1213.7800</v>
      </c>
      <c r="T419" s="10">
        <v>28730</v>
      </c>
      <c r="U419" s="10">
        <v>1444</v>
      </c>
      <c r="V419" s="10" t="str">
        <f t="shared" si="247"/>
        <v>Printing Stationery &amp; Off Supp</v>
      </c>
      <c r="W419" s="10" t="str">
        <f t="shared" si="248"/>
        <v>Supplies and Services</v>
      </c>
      <c r="X419" s="10" t="str">
        <f>VLOOKUP(U419,'[1]Account code lookup'!A:B,2,0)</f>
        <v>Stationery</v>
      </c>
      <c r="Z419" s="10" t="str">
        <f>"Finance and Procurement"</f>
        <v>Finance and Procurement</v>
      </c>
      <c r="AA419" s="10" t="str">
        <f>"Chief Finance Officer"</f>
        <v>Chief Finance Officer</v>
      </c>
      <c r="AB419" s="10" t="str">
        <f>"3cfo"</f>
        <v>3cfo</v>
      </c>
      <c r="AD419" s="10" t="str">
        <f>"cfo02"</f>
        <v>cfo02</v>
      </c>
      <c r="AE419" s="10" t="str">
        <f t="shared" si="240"/>
        <v>Finance &amp; Procurement / Head of Finance &amp; Procurement</v>
      </c>
      <c r="AG419" s="10" t="str">
        <f>"28730/1444"</f>
        <v>28730/1444</v>
      </c>
      <c r="AI419" s="10" t="str">
        <f t="shared" si="249"/>
        <v>14suse</v>
      </c>
      <c r="AJ419" s="15" t="str">
        <f>"LYRECO STAPLES 26/6 - BOX OF 5000"</f>
        <v>LYRECO STAPLES 26/6 - BOX OF 5000</v>
      </c>
      <c r="AK419" s="10" t="str">
        <f t="shared" si="250"/>
        <v>Revenue</v>
      </c>
      <c r="AL419" s="10" t="str">
        <f>""</f>
        <v/>
      </c>
      <c r="AM419" s="10" t="str">
        <f>""</f>
        <v/>
      </c>
      <c r="AN419" s="10" t="str">
        <f>""</f>
        <v/>
      </c>
      <c r="AO419" s="10" t="str">
        <f>""</f>
        <v/>
      </c>
    </row>
    <row r="420" spans="1:41" s="10" customFormat="1" ht="409.6">
      <c r="A420" s="9"/>
      <c r="B420" s="9"/>
      <c r="C420" s="9"/>
      <c r="D420" s="10" t="str">
        <f>"29657"</f>
        <v>29657</v>
      </c>
      <c r="E420" s="11" t="str">
        <f>""</f>
        <v/>
      </c>
      <c r="F420" s="11" t="str">
        <f t="shared" si="264"/>
        <v>372418</v>
      </c>
      <c r="G420" s="11" t="str">
        <f t="shared" si="265"/>
        <v>2017toJAN</v>
      </c>
      <c r="H420" s="11" t="str">
        <f t="shared" si="266"/>
        <v>CRSP06B</v>
      </c>
      <c r="I420" s="11" t="str">
        <f t="shared" si="267"/>
        <v>34</v>
      </c>
      <c r="J420" s="11" t="str">
        <f t="shared" si="268"/>
        <v>Creditor</v>
      </c>
      <c r="K420" s="11" t="str">
        <f t="shared" si="245"/>
        <v>CS000551</v>
      </c>
      <c r="L420" s="10" t="str">
        <f t="shared" si="246"/>
        <v>Lyreco UK Ltd</v>
      </c>
      <c r="M420" s="12" t="str">
        <f t="shared" si="236"/>
        <v>27/01/2017 00:00:00</v>
      </c>
      <c r="N420" s="12">
        <v>42762</v>
      </c>
      <c r="O420" s="10" t="str">
        <f t="shared" si="237"/>
        <v>C007779</v>
      </c>
      <c r="P420" s="13">
        <v>14.95</v>
      </c>
      <c r="Q420" s="11" t="str">
        <f>"14.9500"</f>
        <v>14.9500</v>
      </c>
      <c r="R420" s="10" t="str">
        <f t="shared" si="238"/>
        <v>C0004586</v>
      </c>
      <c r="S420" s="14" t="str">
        <f t="shared" si="239"/>
        <v>1213.7800</v>
      </c>
      <c r="T420" s="10">
        <v>28730</v>
      </c>
      <c r="U420" s="10">
        <v>1444</v>
      </c>
      <c r="V420" s="10" t="str">
        <f t="shared" si="247"/>
        <v>Printing Stationery &amp; Off Supp</v>
      </c>
      <c r="W420" s="10" t="str">
        <f t="shared" si="248"/>
        <v>Supplies and Services</v>
      </c>
      <c r="X420" s="10" t="str">
        <f>VLOOKUP(U420,'[1]Account code lookup'!A:B,2,0)</f>
        <v>Stationery</v>
      </c>
      <c r="Z420" s="10" t="str">
        <f>"Finance and Procurement"</f>
        <v>Finance and Procurement</v>
      </c>
      <c r="AA420" s="10" t="str">
        <f>"Chief Finance Officer"</f>
        <v>Chief Finance Officer</v>
      </c>
      <c r="AB420" s="10" t="str">
        <f>"3cfo"</f>
        <v>3cfo</v>
      </c>
      <c r="AD420" s="10" t="str">
        <f>"cfo02"</f>
        <v>cfo02</v>
      </c>
      <c r="AE420" s="10" t="str">
        <f t="shared" si="240"/>
        <v>Finance &amp; Procurement / Head of Finance &amp; Procurement</v>
      </c>
      <c r="AG420" s="10" t="str">
        <f>"28730/1444"</f>
        <v>28730/1444</v>
      </c>
      <c r="AI420" s="10" t="str">
        <f t="shared" si="249"/>
        <v>14suse</v>
      </c>
      <c r="AJ420" s="15" t="str">
        <f>"METAL-ENDED TREASURY TAGS 76MM - PACK OF 100"</f>
        <v>METAL-ENDED TREASURY TAGS 76MM - PACK OF 100</v>
      </c>
      <c r="AK420" s="10" t="str">
        <f t="shared" si="250"/>
        <v>Revenue</v>
      </c>
      <c r="AL420" s="10" t="str">
        <f>""</f>
        <v/>
      </c>
      <c r="AM420" s="10" t="str">
        <f>""</f>
        <v/>
      </c>
      <c r="AN420" s="10" t="str">
        <f>""</f>
        <v/>
      </c>
      <c r="AO420" s="10" t="str">
        <f>""</f>
        <v/>
      </c>
    </row>
    <row r="421" spans="1:41" s="10" customFormat="1" ht="409.6">
      <c r="A421" s="9"/>
      <c r="B421" s="9"/>
      <c r="C421" s="9"/>
      <c r="D421" s="10" t="str">
        <f>"30648"</f>
        <v>30648</v>
      </c>
      <c r="E421" s="11" t="str">
        <f>""</f>
        <v/>
      </c>
      <c r="F421" s="11" t="str">
        <f t="shared" si="264"/>
        <v>372418</v>
      </c>
      <c r="G421" s="11" t="str">
        <f t="shared" si="265"/>
        <v>2017toJAN</v>
      </c>
      <c r="H421" s="11" t="str">
        <f t="shared" si="266"/>
        <v>CRSP06B</v>
      </c>
      <c r="I421" s="11" t="str">
        <f t="shared" si="267"/>
        <v>34</v>
      </c>
      <c r="J421" s="11" t="str">
        <f t="shared" si="268"/>
        <v>Creditor</v>
      </c>
      <c r="K421" s="11" t="str">
        <f t="shared" si="245"/>
        <v>CS000551</v>
      </c>
      <c r="L421" s="10" t="str">
        <f t="shared" si="246"/>
        <v>Lyreco UK Ltd</v>
      </c>
      <c r="M421" s="12" t="str">
        <f t="shared" si="236"/>
        <v>27/01/2017 00:00:00</v>
      </c>
      <c r="N421" s="12">
        <v>42762</v>
      </c>
      <c r="O421" s="10" t="str">
        <f t="shared" si="237"/>
        <v>C007779</v>
      </c>
      <c r="P421" s="13">
        <v>11.3</v>
      </c>
      <c r="Q421" s="11" t="str">
        <f>"11.3000"</f>
        <v>11.3000</v>
      </c>
      <c r="R421" s="10" t="str">
        <f t="shared" si="238"/>
        <v>C0004586</v>
      </c>
      <c r="S421" s="14" t="str">
        <f t="shared" si="239"/>
        <v>1213.7800</v>
      </c>
      <c r="T421" s="10">
        <v>29115</v>
      </c>
      <c r="U421" s="10">
        <v>1444</v>
      </c>
      <c r="V421" s="10" t="str">
        <f t="shared" si="247"/>
        <v>Printing Stationery &amp; Off Supp</v>
      </c>
      <c r="W421" s="10" t="str">
        <f t="shared" si="248"/>
        <v>Supplies and Services</v>
      </c>
      <c r="X421" s="10" t="str">
        <f>VLOOKUP(U421,'[1]Account code lookup'!A:B,2,0)</f>
        <v>Stationery</v>
      </c>
      <c r="Z421" s="10" t="str">
        <f t="shared" ref="Z421:Z440" si="269">"Development Management"</f>
        <v>Development Management</v>
      </c>
      <c r="AA421" s="10" t="str">
        <f t="shared" ref="AA421:AA440" si="270">"Strategy and Commissioning"</f>
        <v>Strategy and Commissioning</v>
      </c>
      <c r="AB421" s="10" t="str">
        <f t="shared" ref="AB421:AB440" si="271">"4sac"</f>
        <v>4sac</v>
      </c>
      <c r="AD421" s="10" t="str">
        <f t="shared" ref="AD421:AD440" si="272">"sac02"</f>
        <v>sac02</v>
      </c>
      <c r="AE421" s="10" t="str">
        <f t="shared" si="240"/>
        <v>Finance &amp; Procurement / Head of Finance &amp; Procurement</v>
      </c>
      <c r="AG421" s="10" t="str">
        <f t="shared" ref="AG421:AG432" si="273">"29115/1444"</f>
        <v>29115/1444</v>
      </c>
      <c r="AI421" s="10" t="str">
        <f t="shared" si="249"/>
        <v>14suse</v>
      </c>
      <c r="AJ421" s="15" t="str">
        <f>"LYRECO A4 GLOSS LAMINATING POUCHES 250 MICRON (2 X 125) - PACK OF 100"</f>
        <v>LYRECO A4 GLOSS LAMINATING POUCHES 250 MICRON (2 X 125) - PACK OF 100</v>
      </c>
      <c r="AK421" s="10" t="str">
        <f t="shared" si="250"/>
        <v>Revenue</v>
      </c>
      <c r="AL421" s="10" t="str">
        <f>""</f>
        <v/>
      </c>
      <c r="AM421" s="10" t="str">
        <f>""</f>
        <v/>
      </c>
      <c r="AN421" s="10" t="str">
        <f>""</f>
        <v/>
      </c>
      <c r="AO421" s="10" t="str">
        <f>""</f>
        <v/>
      </c>
    </row>
    <row r="422" spans="1:41" s="10" customFormat="1" ht="409.6">
      <c r="A422" s="9"/>
      <c r="B422" s="9"/>
      <c r="C422" s="9"/>
      <c r="D422" s="10" t="str">
        <f>"30955"</f>
        <v>30955</v>
      </c>
      <c r="E422" s="11" t="str">
        <f>""</f>
        <v/>
      </c>
      <c r="F422" s="11" t="str">
        <f t="shared" si="264"/>
        <v>372418</v>
      </c>
      <c r="G422" s="11" t="str">
        <f t="shared" si="265"/>
        <v>2017toJAN</v>
      </c>
      <c r="H422" s="11" t="str">
        <f t="shared" si="266"/>
        <v>CRSP06B</v>
      </c>
      <c r="I422" s="11" t="str">
        <f t="shared" si="267"/>
        <v>34</v>
      </c>
      <c r="J422" s="11" t="str">
        <f t="shared" si="268"/>
        <v>Creditor</v>
      </c>
      <c r="K422" s="11" t="str">
        <f t="shared" si="245"/>
        <v>CS000551</v>
      </c>
      <c r="L422" s="10" t="str">
        <f t="shared" si="246"/>
        <v>Lyreco UK Ltd</v>
      </c>
      <c r="M422" s="12" t="str">
        <f t="shared" si="236"/>
        <v>27/01/2017 00:00:00</v>
      </c>
      <c r="N422" s="12">
        <v>42762</v>
      </c>
      <c r="O422" s="10" t="str">
        <f t="shared" si="237"/>
        <v>C007779</v>
      </c>
      <c r="P422" s="13">
        <v>1.74</v>
      </c>
      <c r="Q422" s="11" t="str">
        <f>"1.7400"</f>
        <v>1.7400</v>
      </c>
      <c r="R422" s="10" t="str">
        <f t="shared" si="238"/>
        <v>C0004586</v>
      </c>
      <c r="S422" s="14" t="str">
        <f t="shared" si="239"/>
        <v>1213.7800</v>
      </c>
      <c r="T422" s="10">
        <v>29115</v>
      </c>
      <c r="U422" s="10">
        <v>1444</v>
      </c>
      <c r="V422" s="10" t="str">
        <f t="shared" si="247"/>
        <v>Printing Stationery &amp; Off Supp</v>
      </c>
      <c r="W422" s="10" t="str">
        <f t="shared" si="248"/>
        <v>Supplies and Services</v>
      </c>
      <c r="X422" s="10" t="str">
        <f>VLOOKUP(U422,'[1]Account code lookup'!A:B,2,0)</f>
        <v>Stationery</v>
      </c>
      <c r="Z422" s="10" t="str">
        <f t="shared" si="269"/>
        <v>Development Management</v>
      </c>
      <c r="AA422" s="10" t="str">
        <f t="shared" si="270"/>
        <v>Strategy and Commissioning</v>
      </c>
      <c r="AB422" s="10" t="str">
        <f t="shared" si="271"/>
        <v>4sac</v>
      </c>
      <c r="AD422" s="10" t="str">
        <f t="shared" si="272"/>
        <v>sac02</v>
      </c>
      <c r="AE422" s="10" t="str">
        <f t="shared" si="240"/>
        <v>Finance &amp; Procurement / Head of Finance &amp; Procurement</v>
      </c>
      <c r="AG422" s="10" t="str">
        <f t="shared" si="273"/>
        <v>29115/1444</v>
      </c>
      <c r="AI422" s="10" t="str">
        <f t="shared" si="249"/>
        <v>14suse</v>
      </c>
      <c r="AJ422" s="15" t="str">
        <f>"LYRECO A4 RULED MANUSCRIPT BOOK - 96 SHEETS"</f>
        <v>LYRECO A4 RULED MANUSCRIPT BOOK - 96 SHEETS</v>
      </c>
      <c r="AK422" s="10" t="str">
        <f t="shared" si="250"/>
        <v>Revenue</v>
      </c>
      <c r="AL422" s="10" t="str">
        <f>""</f>
        <v/>
      </c>
      <c r="AM422" s="10" t="str">
        <f>""</f>
        <v/>
      </c>
      <c r="AN422" s="10" t="str">
        <f>""</f>
        <v/>
      </c>
      <c r="AO422" s="10" t="str">
        <f>""</f>
        <v/>
      </c>
    </row>
    <row r="423" spans="1:41" s="10" customFormat="1" ht="409.6">
      <c r="A423" s="9"/>
      <c r="B423" s="9"/>
      <c r="C423" s="9"/>
      <c r="D423" s="10" t="str">
        <f>"31807"</f>
        <v>31807</v>
      </c>
      <c r="E423" s="11" t="str">
        <f>""</f>
        <v/>
      </c>
      <c r="F423" s="11" t="str">
        <f t="shared" si="264"/>
        <v>372418</v>
      </c>
      <c r="G423" s="11" t="str">
        <f t="shared" si="265"/>
        <v>2017toJAN</v>
      </c>
      <c r="H423" s="11" t="str">
        <f t="shared" si="266"/>
        <v>CRSP06B</v>
      </c>
      <c r="I423" s="11" t="str">
        <f t="shared" si="267"/>
        <v>34</v>
      </c>
      <c r="J423" s="11" t="str">
        <f t="shared" si="268"/>
        <v>Creditor</v>
      </c>
      <c r="K423" s="11" t="str">
        <f t="shared" si="245"/>
        <v>CS000551</v>
      </c>
      <c r="L423" s="10" t="str">
        <f t="shared" si="246"/>
        <v>Lyreco UK Ltd</v>
      </c>
      <c r="M423" s="12" t="str">
        <f t="shared" si="236"/>
        <v>27/01/2017 00:00:00</v>
      </c>
      <c r="N423" s="12">
        <v>42762</v>
      </c>
      <c r="O423" s="10" t="str">
        <f t="shared" si="237"/>
        <v>C007779</v>
      </c>
      <c r="P423" s="13">
        <v>11.25</v>
      </c>
      <c r="Q423" s="11" t="str">
        <f>"11.2500"</f>
        <v>11.2500</v>
      </c>
      <c r="R423" s="10" t="str">
        <f t="shared" si="238"/>
        <v>C0004586</v>
      </c>
      <c r="S423" s="14" t="str">
        <f t="shared" si="239"/>
        <v>1213.7800</v>
      </c>
      <c r="T423" s="10">
        <v>29115</v>
      </c>
      <c r="U423" s="10">
        <v>1444</v>
      </c>
      <c r="V423" s="10" t="str">
        <f t="shared" si="247"/>
        <v>Printing Stationery &amp; Off Supp</v>
      </c>
      <c r="W423" s="10" t="str">
        <f t="shared" si="248"/>
        <v>Supplies and Services</v>
      </c>
      <c r="X423" s="10" t="str">
        <f>VLOOKUP(U423,'[1]Account code lookup'!A:B,2,0)</f>
        <v>Stationery</v>
      </c>
      <c r="Z423" s="10" t="str">
        <f t="shared" si="269"/>
        <v>Development Management</v>
      </c>
      <c r="AA423" s="10" t="str">
        <f t="shared" si="270"/>
        <v>Strategy and Commissioning</v>
      </c>
      <c r="AB423" s="10" t="str">
        <f t="shared" si="271"/>
        <v>4sac</v>
      </c>
      <c r="AD423" s="10" t="str">
        <f t="shared" si="272"/>
        <v>sac02</v>
      </c>
      <c r="AE423" s="10" t="str">
        <f t="shared" si="240"/>
        <v>Finance &amp; Procurement / Head of Finance &amp; Procurement</v>
      </c>
      <c r="AG423" s="10" t="str">
        <f t="shared" si="273"/>
        <v>29115/1444</v>
      </c>
      <c r="AI423" s="10" t="str">
        <f t="shared" si="249"/>
        <v>14suse</v>
      </c>
      <c r="AJ423" s="15" t="str">
        <f>"LYRECO BLACK A4 21-RING PLASTIC COMBS 8MM - 40 SHEET CAPACITY - BOX OF 100"</f>
        <v>LYRECO BLACK A4 21-RING PLASTIC COMBS 8MM - 40 SHEET CAPACITY - BOX OF 100</v>
      </c>
      <c r="AK423" s="10" t="str">
        <f t="shared" si="250"/>
        <v>Revenue</v>
      </c>
      <c r="AL423" s="10" t="str">
        <f>""</f>
        <v/>
      </c>
      <c r="AM423" s="10" t="str">
        <f>""</f>
        <v/>
      </c>
      <c r="AN423" s="10" t="str">
        <f>""</f>
        <v/>
      </c>
      <c r="AO423" s="10" t="str">
        <f>""</f>
        <v/>
      </c>
    </row>
    <row r="424" spans="1:41" s="10" customFormat="1" ht="409.6">
      <c r="A424" s="9"/>
      <c r="B424" s="9"/>
      <c r="C424" s="9"/>
      <c r="D424" s="10" t="str">
        <f>"31808"</f>
        <v>31808</v>
      </c>
      <c r="E424" s="11" t="str">
        <f>""</f>
        <v/>
      </c>
      <c r="F424" s="11" t="str">
        <f t="shared" si="264"/>
        <v>372418</v>
      </c>
      <c r="G424" s="11" t="str">
        <f t="shared" si="265"/>
        <v>2017toJAN</v>
      </c>
      <c r="H424" s="11" t="str">
        <f t="shared" si="266"/>
        <v>CRSP06B</v>
      </c>
      <c r="I424" s="11" t="str">
        <f t="shared" si="267"/>
        <v>34</v>
      </c>
      <c r="J424" s="11" t="str">
        <f t="shared" si="268"/>
        <v>Creditor</v>
      </c>
      <c r="K424" s="11" t="str">
        <f t="shared" si="245"/>
        <v>CS000551</v>
      </c>
      <c r="L424" s="10" t="str">
        <f t="shared" si="246"/>
        <v>Lyreco UK Ltd</v>
      </c>
      <c r="M424" s="12" t="str">
        <f t="shared" si="236"/>
        <v>27/01/2017 00:00:00</v>
      </c>
      <c r="N424" s="12">
        <v>42762</v>
      </c>
      <c r="O424" s="10" t="str">
        <f t="shared" si="237"/>
        <v>C007779</v>
      </c>
      <c r="P424" s="13">
        <v>2</v>
      </c>
      <c r="Q424" s="11" t="str">
        <f>"2.0000"</f>
        <v>2.0000</v>
      </c>
      <c r="R424" s="10" t="str">
        <f t="shared" si="238"/>
        <v>C0004586</v>
      </c>
      <c r="S424" s="14" t="str">
        <f t="shared" si="239"/>
        <v>1213.7800</v>
      </c>
      <c r="T424" s="10">
        <v>29115</v>
      </c>
      <c r="U424" s="10">
        <v>1444</v>
      </c>
      <c r="V424" s="10" t="str">
        <f t="shared" si="247"/>
        <v>Printing Stationery &amp; Off Supp</v>
      </c>
      <c r="W424" s="10" t="str">
        <f t="shared" si="248"/>
        <v>Supplies and Services</v>
      </c>
      <c r="X424" s="10" t="str">
        <f>VLOOKUP(U424,'[1]Account code lookup'!A:B,2,0)</f>
        <v>Stationery</v>
      </c>
      <c r="Z424" s="10" t="str">
        <f t="shared" si="269"/>
        <v>Development Management</v>
      </c>
      <c r="AA424" s="10" t="str">
        <f t="shared" si="270"/>
        <v>Strategy and Commissioning</v>
      </c>
      <c r="AB424" s="10" t="str">
        <f t="shared" si="271"/>
        <v>4sac</v>
      </c>
      <c r="AD424" s="10" t="str">
        <f t="shared" si="272"/>
        <v>sac02</v>
      </c>
      <c r="AE424" s="10" t="str">
        <f t="shared" si="240"/>
        <v>Finance &amp; Procurement / Head of Finance &amp; Procurement</v>
      </c>
      <c r="AG424" s="10" t="str">
        <f t="shared" si="273"/>
        <v>29115/1444</v>
      </c>
      <c r="AI424" s="10" t="str">
        <f t="shared" si="249"/>
        <v>14suse</v>
      </c>
      <c r="AJ424" s="15" t="str">
        <f>"LYRECO BUDGET WHITE A4 MEMO PADS (RULED) - PACK OF 10 (10 X 80 SHEETS)"</f>
        <v>LYRECO BUDGET WHITE A4 MEMO PADS (RULED) - PACK OF 10 (10 X 80 SHEETS)</v>
      </c>
      <c r="AK424" s="10" t="str">
        <f t="shared" si="250"/>
        <v>Revenue</v>
      </c>
      <c r="AL424" s="10" t="str">
        <f>""</f>
        <v/>
      </c>
      <c r="AM424" s="10" t="str">
        <f>""</f>
        <v/>
      </c>
      <c r="AN424" s="10" t="str">
        <f>""</f>
        <v/>
      </c>
      <c r="AO424" s="10" t="str">
        <f>""</f>
        <v/>
      </c>
    </row>
    <row r="425" spans="1:41" s="10" customFormat="1" ht="409.6">
      <c r="A425" s="9"/>
      <c r="B425" s="9"/>
      <c r="C425" s="9"/>
      <c r="D425" s="10" t="str">
        <f>"31809"</f>
        <v>31809</v>
      </c>
      <c r="E425" s="11" t="str">
        <f>""</f>
        <v/>
      </c>
      <c r="F425" s="11" t="str">
        <f t="shared" si="264"/>
        <v>372418</v>
      </c>
      <c r="G425" s="11" t="str">
        <f t="shared" si="265"/>
        <v>2017toJAN</v>
      </c>
      <c r="H425" s="11" t="str">
        <f t="shared" si="266"/>
        <v>CRSP06B</v>
      </c>
      <c r="I425" s="11" t="str">
        <f t="shared" si="267"/>
        <v>34</v>
      </c>
      <c r="J425" s="11" t="str">
        <f t="shared" si="268"/>
        <v>Creditor</v>
      </c>
      <c r="K425" s="11" t="str">
        <f t="shared" si="245"/>
        <v>CS000551</v>
      </c>
      <c r="L425" s="10" t="str">
        <f t="shared" si="246"/>
        <v>Lyreco UK Ltd</v>
      </c>
      <c r="M425" s="12" t="str">
        <f t="shared" si="236"/>
        <v>27/01/2017 00:00:00</v>
      </c>
      <c r="N425" s="12">
        <v>42762</v>
      </c>
      <c r="O425" s="10" t="str">
        <f t="shared" si="237"/>
        <v>C007779</v>
      </c>
      <c r="P425" s="13">
        <v>4</v>
      </c>
      <c r="Q425" s="11" t="str">
        <f>"4.0000"</f>
        <v>4.0000</v>
      </c>
      <c r="R425" s="10" t="str">
        <f t="shared" si="238"/>
        <v>C0004586</v>
      </c>
      <c r="S425" s="14" t="str">
        <f t="shared" si="239"/>
        <v>1213.7800</v>
      </c>
      <c r="T425" s="10">
        <v>29115</v>
      </c>
      <c r="U425" s="10">
        <v>1444</v>
      </c>
      <c r="V425" s="10" t="str">
        <f t="shared" si="247"/>
        <v>Printing Stationery &amp; Off Supp</v>
      </c>
      <c r="W425" s="10" t="str">
        <f t="shared" si="248"/>
        <v>Supplies and Services</v>
      </c>
      <c r="X425" s="10" t="str">
        <f>VLOOKUP(U425,'[1]Account code lookup'!A:B,2,0)</f>
        <v>Stationery</v>
      </c>
      <c r="Z425" s="10" t="str">
        <f t="shared" si="269"/>
        <v>Development Management</v>
      </c>
      <c r="AA425" s="10" t="str">
        <f t="shared" si="270"/>
        <v>Strategy and Commissioning</v>
      </c>
      <c r="AB425" s="10" t="str">
        <f t="shared" si="271"/>
        <v>4sac</v>
      </c>
      <c r="AD425" s="10" t="str">
        <f t="shared" si="272"/>
        <v>sac02</v>
      </c>
      <c r="AE425" s="10" t="str">
        <f t="shared" si="240"/>
        <v>Finance &amp; Procurement / Head of Finance &amp; Procurement</v>
      </c>
      <c r="AG425" s="10" t="str">
        <f t="shared" si="273"/>
        <v>29115/1444</v>
      </c>
      <c r="AI425" s="10" t="str">
        <f t="shared" si="249"/>
        <v>14suse</v>
      </c>
      <c r="AJ425" s="15" t="str">
        <f>"LYRECO BUDGET WHITE A4 MEMO PADS (RULED) - PACK OF 10 (10 X 80 SHEETS)"</f>
        <v>LYRECO BUDGET WHITE A4 MEMO PADS (RULED) - PACK OF 10 (10 X 80 SHEETS)</v>
      </c>
      <c r="AK425" s="10" t="str">
        <f t="shared" si="250"/>
        <v>Revenue</v>
      </c>
      <c r="AL425" s="10" t="str">
        <f>""</f>
        <v/>
      </c>
      <c r="AM425" s="10" t="str">
        <f>""</f>
        <v/>
      </c>
      <c r="AN425" s="10" t="str">
        <f>""</f>
        <v/>
      </c>
      <c r="AO425" s="10" t="str">
        <f>""</f>
        <v/>
      </c>
    </row>
    <row r="426" spans="1:41" s="10" customFormat="1" ht="409.6">
      <c r="A426" s="9"/>
      <c r="B426" s="9"/>
      <c r="C426" s="9"/>
      <c r="D426" s="10" t="str">
        <f>"31810"</f>
        <v>31810</v>
      </c>
      <c r="E426" s="11" t="str">
        <f>""</f>
        <v/>
      </c>
      <c r="F426" s="11" t="str">
        <f t="shared" si="264"/>
        <v>372418</v>
      </c>
      <c r="G426" s="11" t="str">
        <f t="shared" si="265"/>
        <v>2017toJAN</v>
      </c>
      <c r="H426" s="11" t="str">
        <f t="shared" si="266"/>
        <v>CRSP06B</v>
      </c>
      <c r="I426" s="11" t="str">
        <f t="shared" si="267"/>
        <v>34</v>
      </c>
      <c r="J426" s="11" t="str">
        <f t="shared" si="268"/>
        <v>Creditor</v>
      </c>
      <c r="K426" s="11" t="str">
        <f t="shared" si="245"/>
        <v>CS000551</v>
      </c>
      <c r="L426" s="10" t="str">
        <f t="shared" si="246"/>
        <v>Lyreco UK Ltd</v>
      </c>
      <c r="M426" s="12" t="str">
        <f t="shared" si="236"/>
        <v>27/01/2017 00:00:00</v>
      </c>
      <c r="N426" s="12">
        <v>42762</v>
      </c>
      <c r="O426" s="10" t="str">
        <f t="shared" si="237"/>
        <v>C007779</v>
      </c>
      <c r="P426" s="13">
        <v>1.57</v>
      </c>
      <c r="Q426" s="11" t="str">
        <f>"1.5700"</f>
        <v>1.5700</v>
      </c>
      <c r="R426" s="10" t="str">
        <f t="shared" si="238"/>
        <v>C0004586</v>
      </c>
      <c r="S426" s="14" t="str">
        <f t="shared" si="239"/>
        <v>1213.7800</v>
      </c>
      <c r="T426" s="10">
        <v>29115</v>
      </c>
      <c r="U426" s="10">
        <v>1444</v>
      </c>
      <c r="V426" s="10" t="str">
        <f t="shared" si="247"/>
        <v>Printing Stationery &amp; Off Supp</v>
      </c>
      <c r="W426" s="10" t="str">
        <f t="shared" si="248"/>
        <v>Supplies and Services</v>
      </c>
      <c r="X426" s="10" t="str">
        <f>VLOOKUP(U426,'[1]Account code lookup'!A:B,2,0)</f>
        <v>Stationery</v>
      </c>
      <c r="Z426" s="10" t="str">
        <f t="shared" si="269"/>
        <v>Development Management</v>
      </c>
      <c r="AA426" s="10" t="str">
        <f t="shared" si="270"/>
        <v>Strategy and Commissioning</v>
      </c>
      <c r="AB426" s="10" t="str">
        <f t="shared" si="271"/>
        <v>4sac</v>
      </c>
      <c r="AD426" s="10" t="str">
        <f t="shared" si="272"/>
        <v>sac02</v>
      </c>
      <c r="AE426" s="10" t="str">
        <f t="shared" si="240"/>
        <v>Finance &amp; Procurement / Head of Finance &amp; Procurement</v>
      </c>
      <c r="AG426" s="10" t="str">
        <f t="shared" si="273"/>
        <v>29115/1444</v>
      </c>
      <c r="AI426" s="10" t="str">
        <f t="shared" si="249"/>
        <v>14suse</v>
      </c>
      <c r="AJ426" s="15" t="str">
        <f>"LYRECO HB UNDIPPED PENCILS - BOX OF 12"</f>
        <v>LYRECO HB UNDIPPED PENCILS - BOX OF 12</v>
      </c>
      <c r="AK426" s="10" t="str">
        <f t="shared" si="250"/>
        <v>Revenue</v>
      </c>
      <c r="AL426" s="10" t="str">
        <f>""</f>
        <v/>
      </c>
      <c r="AM426" s="10" t="str">
        <f>""</f>
        <v/>
      </c>
      <c r="AN426" s="10" t="str">
        <f>""</f>
        <v/>
      </c>
      <c r="AO426" s="10" t="str">
        <f>""</f>
        <v/>
      </c>
    </row>
    <row r="427" spans="1:41" s="10" customFormat="1" ht="409.6">
      <c r="A427" s="9"/>
      <c r="B427" s="9"/>
      <c r="C427" s="9"/>
      <c r="D427" s="10" t="str">
        <f>"31811"</f>
        <v>31811</v>
      </c>
      <c r="E427" s="11" t="str">
        <f>""</f>
        <v/>
      </c>
      <c r="F427" s="11" t="str">
        <f t="shared" si="264"/>
        <v>372418</v>
      </c>
      <c r="G427" s="11" t="str">
        <f t="shared" si="265"/>
        <v>2017toJAN</v>
      </c>
      <c r="H427" s="11" t="str">
        <f t="shared" si="266"/>
        <v>CRSP06B</v>
      </c>
      <c r="I427" s="11" t="str">
        <f t="shared" si="267"/>
        <v>34</v>
      </c>
      <c r="J427" s="11" t="str">
        <f t="shared" si="268"/>
        <v>Creditor</v>
      </c>
      <c r="K427" s="11" t="str">
        <f t="shared" si="245"/>
        <v>CS000551</v>
      </c>
      <c r="L427" s="10" t="str">
        <f t="shared" si="246"/>
        <v>Lyreco UK Ltd</v>
      </c>
      <c r="M427" s="12" t="str">
        <f t="shared" si="236"/>
        <v>27/01/2017 00:00:00</v>
      </c>
      <c r="N427" s="12">
        <v>42762</v>
      </c>
      <c r="O427" s="10" t="str">
        <f t="shared" si="237"/>
        <v>C007779</v>
      </c>
      <c r="P427" s="13">
        <v>1.1000000000000001</v>
      </c>
      <c r="Q427" s="11" t="str">
        <f>"1.1000"</f>
        <v>1.1000</v>
      </c>
      <c r="R427" s="10" t="str">
        <f t="shared" si="238"/>
        <v>C0004586</v>
      </c>
      <c r="S427" s="14" t="str">
        <f t="shared" si="239"/>
        <v>1213.7800</v>
      </c>
      <c r="T427" s="10">
        <v>29115</v>
      </c>
      <c r="U427" s="10">
        <v>1444</v>
      </c>
      <c r="V427" s="10" t="str">
        <f t="shared" si="247"/>
        <v>Printing Stationery &amp; Off Supp</v>
      </c>
      <c r="W427" s="10" t="str">
        <f t="shared" si="248"/>
        <v>Supplies and Services</v>
      </c>
      <c r="X427" s="10" t="str">
        <f>VLOOKUP(U427,'[1]Account code lookup'!A:B,2,0)</f>
        <v>Stationery</v>
      </c>
      <c r="Z427" s="10" t="str">
        <f t="shared" si="269"/>
        <v>Development Management</v>
      </c>
      <c r="AA427" s="10" t="str">
        <f t="shared" si="270"/>
        <v>Strategy and Commissioning</v>
      </c>
      <c r="AB427" s="10" t="str">
        <f t="shared" si="271"/>
        <v>4sac</v>
      </c>
      <c r="AD427" s="10" t="str">
        <f t="shared" si="272"/>
        <v>sac02</v>
      </c>
      <c r="AE427" s="10" t="str">
        <f t="shared" si="240"/>
        <v>Finance &amp; Procurement / Head of Finance &amp; Procurement</v>
      </c>
      <c r="AG427" s="10" t="str">
        <f t="shared" si="273"/>
        <v>29115/1444</v>
      </c>
      <c r="AI427" s="10" t="str">
        <f t="shared" si="249"/>
        <v>14suse</v>
      </c>
      <c r="AJ427" s="15" t="str">
        <f>"LYRECO WHITE 8 X 5INCH SHORTHAND NOTEBOOKS (RULED) - PACK OF 10 (10X150 SHEETS)"</f>
        <v>LYRECO WHITE 8 X 5INCH SHORTHAND NOTEBOOKS (RULED) - PACK OF 10 (10X150 SHEETS)</v>
      </c>
      <c r="AK427" s="10" t="str">
        <f t="shared" si="250"/>
        <v>Revenue</v>
      </c>
      <c r="AL427" s="10" t="str">
        <f>""</f>
        <v/>
      </c>
      <c r="AM427" s="10" t="str">
        <f>""</f>
        <v/>
      </c>
      <c r="AN427" s="10" t="str">
        <f>""</f>
        <v/>
      </c>
      <c r="AO427" s="10" t="str">
        <f>""</f>
        <v/>
      </c>
    </row>
    <row r="428" spans="1:41" s="10" customFormat="1" ht="409.6">
      <c r="A428" s="9"/>
      <c r="B428" s="9"/>
      <c r="C428" s="9"/>
      <c r="D428" s="10" t="str">
        <f>"31812"</f>
        <v>31812</v>
      </c>
      <c r="E428" s="11" t="str">
        <f>""</f>
        <v/>
      </c>
      <c r="F428" s="11" t="str">
        <f t="shared" si="264"/>
        <v>372418</v>
      </c>
      <c r="G428" s="11" t="str">
        <f t="shared" si="265"/>
        <v>2017toJAN</v>
      </c>
      <c r="H428" s="11" t="str">
        <f t="shared" si="266"/>
        <v>CRSP06B</v>
      </c>
      <c r="I428" s="11" t="str">
        <f t="shared" si="267"/>
        <v>34</v>
      </c>
      <c r="J428" s="11" t="str">
        <f t="shared" si="268"/>
        <v>Creditor</v>
      </c>
      <c r="K428" s="11" t="str">
        <f t="shared" si="245"/>
        <v>CS000551</v>
      </c>
      <c r="L428" s="10" t="str">
        <f t="shared" si="246"/>
        <v>Lyreco UK Ltd</v>
      </c>
      <c r="M428" s="12" t="str">
        <f t="shared" si="236"/>
        <v>27/01/2017 00:00:00</v>
      </c>
      <c r="N428" s="12">
        <v>42762</v>
      </c>
      <c r="O428" s="10" t="str">
        <f t="shared" si="237"/>
        <v>C007779</v>
      </c>
      <c r="P428" s="13">
        <v>3.39</v>
      </c>
      <c r="Q428" s="11" t="str">
        <f>"3.3900"</f>
        <v>3.3900</v>
      </c>
      <c r="R428" s="10" t="str">
        <f t="shared" si="238"/>
        <v>C0004586</v>
      </c>
      <c r="S428" s="14" t="str">
        <f t="shared" si="239"/>
        <v>1213.7800</v>
      </c>
      <c r="T428" s="10">
        <v>29115</v>
      </c>
      <c r="U428" s="10">
        <v>1444</v>
      </c>
      <c r="V428" s="10" t="str">
        <f t="shared" si="247"/>
        <v>Printing Stationery &amp; Off Supp</v>
      </c>
      <c r="W428" s="10" t="str">
        <f t="shared" si="248"/>
        <v>Supplies and Services</v>
      </c>
      <c r="X428" s="10" t="str">
        <f>VLOOKUP(U428,'[1]Account code lookup'!A:B,2,0)</f>
        <v>Stationery</v>
      </c>
      <c r="Z428" s="10" t="str">
        <f t="shared" si="269"/>
        <v>Development Management</v>
      </c>
      <c r="AA428" s="10" t="str">
        <f t="shared" si="270"/>
        <v>Strategy and Commissioning</v>
      </c>
      <c r="AB428" s="10" t="str">
        <f t="shared" si="271"/>
        <v>4sac</v>
      </c>
      <c r="AD428" s="10" t="str">
        <f t="shared" si="272"/>
        <v>sac02</v>
      </c>
      <c r="AE428" s="10" t="str">
        <f t="shared" si="240"/>
        <v>Finance &amp; Procurement / Head of Finance &amp; Procurement</v>
      </c>
      <c r="AG428" s="10" t="str">
        <f t="shared" si="273"/>
        <v>29115/1444</v>
      </c>
      <c r="AI428" s="10" t="str">
        <f t="shared" si="249"/>
        <v>14suse</v>
      </c>
      <c r="AJ428" s="15" t="str">
        <f>"LYRECO WHITE C5 SELF SEAL PLAIN ENVELOPES 90GSM - BOX OF 500"</f>
        <v>LYRECO WHITE C5 SELF SEAL PLAIN ENVELOPES 90GSM - BOX OF 500</v>
      </c>
      <c r="AK428" s="10" t="str">
        <f t="shared" si="250"/>
        <v>Revenue</v>
      </c>
      <c r="AL428" s="10" t="str">
        <f>""</f>
        <v/>
      </c>
      <c r="AM428" s="10" t="str">
        <f>""</f>
        <v/>
      </c>
      <c r="AN428" s="10" t="str">
        <f>""</f>
        <v/>
      </c>
      <c r="AO428" s="10" t="str">
        <f>""</f>
        <v/>
      </c>
    </row>
    <row r="429" spans="1:41" s="10" customFormat="1" ht="409.6">
      <c r="A429" s="9"/>
      <c r="B429" s="9"/>
      <c r="C429" s="9"/>
      <c r="D429" s="10" t="str">
        <f>"31813"</f>
        <v>31813</v>
      </c>
      <c r="E429" s="11" t="str">
        <f>""</f>
        <v/>
      </c>
      <c r="F429" s="11" t="str">
        <f t="shared" si="264"/>
        <v>372418</v>
      </c>
      <c r="G429" s="11" t="str">
        <f t="shared" si="265"/>
        <v>2017toJAN</v>
      </c>
      <c r="H429" s="11" t="str">
        <f t="shared" si="266"/>
        <v>CRSP06B</v>
      </c>
      <c r="I429" s="11" t="str">
        <f t="shared" si="267"/>
        <v>34</v>
      </c>
      <c r="J429" s="11" t="str">
        <f t="shared" si="268"/>
        <v>Creditor</v>
      </c>
      <c r="K429" s="11" t="str">
        <f t="shared" si="245"/>
        <v>CS000551</v>
      </c>
      <c r="L429" s="10" t="str">
        <f t="shared" si="246"/>
        <v>Lyreco UK Ltd</v>
      </c>
      <c r="M429" s="12" t="str">
        <f t="shared" si="236"/>
        <v>27/01/2017 00:00:00</v>
      </c>
      <c r="N429" s="12">
        <v>42762</v>
      </c>
      <c r="O429" s="10" t="str">
        <f t="shared" si="237"/>
        <v>C007779</v>
      </c>
      <c r="P429" s="13">
        <v>1.05</v>
      </c>
      <c r="Q429" s="11" t="str">
        <f>"1.0500"</f>
        <v>1.0500</v>
      </c>
      <c r="R429" s="10" t="str">
        <f t="shared" si="238"/>
        <v>C0004586</v>
      </c>
      <c r="S429" s="14" t="str">
        <f t="shared" si="239"/>
        <v>1213.7800</v>
      </c>
      <c r="T429" s="10">
        <v>29115</v>
      </c>
      <c r="U429" s="10">
        <v>1444</v>
      </c>
      <c r="V429" s="10" t="str">
        <f t="shared" si="247"/>
        <v>Printing Stationery &amp; Off Supp</v>
      </c>
      <c r="W429" s="10" t="str">
        <f t="shared" si="248"/>
        <v>Supplies and Services</v>
      </c>
      <c r="X429" s="10" t="str">
        <f>VLOOKUP(U429,'[1]Account code lookup'!A:B,2,0)</f>
        <v>Stationery</v>
      </c>
      <c r="Z429" s="10" t="str">
        <f t="shared" si="269"/>
        <v>Development Management</v>
      </c>
      <c r="AA429" s="10" t="str">
        <f t="shared" si="270"/>
        <v>Strategy and Commissioning</v>
      </c>
      <c r="AB429" s="10" t="str">
        <f t="shared" si="271"/>
        <v>4sac</v>
      </c>
      <c r="AD429" s="10" t="str">
        <f t="shared" si="272"/>
        <v>sac02</v>
      </c>
      <c r="AE429" s="10" t="str">
        <f t="shared" si="240"/>
        <v>Finance &amp; Procurement / Head of Finance &amp; Procurement</v>
      </c>
      <c r="AG429" s="10" t="str">
        <f t="shared" si="273"/>
        <v>29115/1444</v>
      </c>
      <c r="AI429" s="10" t="str">
        <f t="shared" si="249"/>
        <v>14suse</v>
      </c>
      <c r="AJ429" s="15" t="str">
        <f>"PAPER CLIPS GIANT PLAIN 51MM - BOX OF 100"</f>
        <v>PAPER CLIPS GIANT PLAIN 51MM - BOX OF 100</v>
      </c>
      <c r="AK429" s="10" t="str">
        <f t="shared" si="250"/>
        <v>Revenue</v>
      </c>
      <c r="AL429" s="10" t="str">
        <f>""</f>
        <v/>
      </c>
      <c r="AM429" s="10" t="str">
        <f>""</f>
        <v/>
      </c>
      <c r="AN429" s="10" t="str">
        <f>""</f>
        <v/>
      </c>
      <c r="AO429" s="10" t="str">
        <f>""</f>
        <v/>
      </c>
    </row>
    <row r="430" spans="1:41" s="10" customFormat="1" ht="409.6">
      <c r="A430" s="9"/>
      <c r="B430" s="9"/>
      <c r="C430" s="9"/>
      <c r="D430" s="10" t="str">
        <f>"31814"</f>
        <v>31814</v>
      </c>
      <c r="E430" s="11" t="str">
        <f>""</f>
        <v/>
      </c>
      <c r="F430" s="11" t="str">
        <f t="shared" si="264"/>
        <v>372418</v>
      </c>
      <c r="G430" s="11" t="str">
        <f t="shared" si="265"/>
        <v>2017toJAN</v>
      </c>
      <c r="H430" s="11" t="str">
        <f t="shared" si="266"/>
        <v>CRSP06B</v>
      </c>
      <c r="I430" s="11" t="str">
        <f t="shared" si="267"/>
        <v>34</v>
      </c>
      <c r="J430" s="11" t="str">
        <f t="shared" si="268"/>
        <v>Creditor</v>
      </c>
      <c r="K430" s="11" t="str">
        <f t="shared" si="245"/>
        <v>CS000551</v>
      </c>
      <c r="L430" s="10" t="str">
        <f t="shared" si="246"/>
        <v>Lyreco UK Ltd</v>
      </c>
      <c r="M430" s="12" t="str">
        <f t="shared" si="236"/>
        <v>27/01/2017 00:00:00</v>
      </c>
      <c r="N430" s="12">
        <v>42762</v>
      </c>
      <c r="O430" s="10" t="str">
        <f t="shared" si="237"/>
        <v>C007779</v>
      </c>
      <c r="P430" s="13">
        <v>14.4</v>
      </c>
      <c r="Q430" s="11" t="str">
        <f>"14.4000"</f>
        <v>14.4000</v>
      </c>
      <c r="R430" s="10" t="str">
        <f t="shared" si="238"/>
        <v>C0004586</v>
      </c>
      <c r="S430" s="14" t="str">
        <f t="shared" si="239"/>
        <v>1213.7800</v>
      </c>
      <c r="T430" s="10">
        <v>29115</v>
      </c>
      <c r="U430" s="10">
        <v>1444</v>
      </c>
      <c r="V430" s="10" t="str">
        <f t="shared" si="247"/>
        <v>Printing Stationery &amp; Off Supp</v>
      </c>
      <c r="W430" s="10" t="str">
        <f t="shared" si="248"/>
        <v>Supplies and Services</v>
      </c>
      <c r="X430" s="10" t="str">
        <f>VLOOKUP(U430,'[1]Account code lookup'!A:B,2,0)</f>
        <v>Stationery</v>
      </c>
      <c r="Z430" s="10" t="str">
        <f t="shared" si="269"/>
        <v>Development Management</v>
      </c>
      <c r="AA430" s="10" t="str">
        <f t="shared" si="270"/>
        <v>Strategy and Commissioning</v>
      </c>
      <c r="AB430" s="10" t="str">
        <f t="shared" si="271"/>
        <v>4sac</v>
      </c>
      <c r="AD430" s="10" t="str">
        <f t="shared" si="272"/>
        <v>sac02</v>
      </c>
      <c r="AE430" s="10" t="str">
        <f t="shared" si="240"/>
        <v>Finance &amp; Procurement / Head of Finance &amp; Procurement</v>
      </c>
      <c r="AG430" s="10" t="str">
        <f t="shared" si="273"/>
        <v>29115/1444</v>
      </c>
      <c r="AI430" s="10" t="str">
        <f t="shared" si="249"/>
        <v>14suse</v>
      </c>
      <c r="AJ430" s="15" t="str">
        <f>"PAPERMATE NYLON FIBRE TIP BLUE PENS 0.8MM LINE WIDTH - BOX OF 12"</f>
        <v>PAPERMATE NYLON FIBRE TIP BLUE PENS 0.8MM LINE WIDTH - BOX OF 12</v>
      </c>
      <c r="AK430" s="10" t="str">
        <f t="shared" si="250"/>
        <v>Revenue</v>
      </c>
      <c r="AL430" s="10" t="str">
        <f>""</f>
        <v/>
      </c>
      <c r="AM430" s="10" t="str">
        <f>""</f>
        <v/>
      </c>
      <c r="AN430" s="10" t="str">
        <f>""</f>
        <v/>
      </c>
      <c r="AO430" s="10" t="str">
        <f>""</f>
        <v/>
      </c>
    </row>
    <row r="431" spans="1:41" s="10" customFormat="1" ht="409.6">
      <c r="A431" s="9"/>
      <c r="B431" s="9"/>
      <c r="C431" s="9"/>
      <c r="D431" s="10" t="str">
        <f>"31815"</f>
        <v>31815</v>
      </c>
      <c r="E431" s="11" t="str">
        <f>""</f>
        <v/>
      </c>
      <c r="F431" s="11" t="str">
        <f t="shared" si="264"/>
        <v>372418</v>
      </c>
      <c r="G431" s="11" t="str">
        <f t="shared" si="265"/>
        <v>2017toJAN</v>
      </c>
      <c r="H431" s="11" t="str">
        <f t="shared" si="266"/>
        <v>CRSP06B</v>
      </c>
      <c r="I431" s="11" t="str">
        <f t="shared" si="267"/>
        <v>34</v>
      </c>
      <c r="J431" s="11" t="str">
        <f t="shared" si="268"/>
        <v>Creditor</v>
      </c>
      <c r="K431" s="11" t="str">
        <f t="shared" si="245"/>
        <v>CS000551</v>
      </c>
      <c r="L431" s="10" t="str">
        <f t="shared" si="246"/>
        <v>Lyreco UK Ltd</v>
      </c>
      <c r="M431" s="12" t="str">
        <f t="shared" ref="M431:M432" si="274">"27/01/2017 00:00:00"</f>
        <v>27/01/2017 00:00:00</v>
      </c>
      <c r="N431" s="12">
        <v>42762</v>
      </c>
      <c r="O431" s="10" t="str">
        <f t="shared" ref="O431:O432" si="275">"C007779"</f>
        <v>C007779</v>
      </c>
      <c r="P431" s="13">
        <v>14.4</v>
      </c>
      <c r="Q431" s="11" t="str">
        <f>"14.4000"</f>
        <v>14.4000</v>
      </c>
      <c r="R431" s="10" t="str">
        <f t="shared" ref="R431:R432" si="276">"C0004586"</f>
        <v>C0004586</v>
      </c>
      <c r="S431" s="14" t="str">
        <f t="shared" ref="S431:S432" si="277">"1213.7800"</f>
        <v>1213.7800</v>
      </c>
      <c r="T431" s="10">
        <v>29115</v>
      </c>
      <c r="U431" s="10">
        <v>1444</v>
      </c>
      <c r="V431" s="10" t="str">
        <f t="shared" si="247"/>
        <v>Printing Stationery &amp; Off Supp</v>
      </c>
      <c r="W431" s="10" t="str">
        <f t="shared" si="248"/>
        <v>Supplies and Services</v>
      </c>
      <c r="X431" s="10" t="str">
        <f>VLOOKUP(U431,'[1]Account code lookup'!A:B,2,0)</f>
        <v>Stationery</v>
      </c>
      <c r="Z431" s="10" t="str">
        <f t="shared" si="269"/>
        <v>Development Management</v>
      </c>
      <c r="AA431" s="10" t="str">
        <f t="shared" si="270"/>
        <v>Strategy and Commissioning</v>
      </c>
      <c r="AB431" s="10" t="str">
        <f t="shared" si="271"/>
        <v>4sac</v>
      </c>
      <c r="AD431" s="10" t="str">
        <f t="shared" si="272"/>
        <v>sac02</v>
      </c>
      <c r="AE431" s="10" t="str">
        <f t="shared" ref="AE431:AE432" si="278">"Finance &amp; Procurement / Head of Finance &amp; Procurement"</f>
        <v>Finance &amp; Procurement / Head of Finance &amp; Procurement</v>
      </c>
      <c r="AG431" s="10" t="str">
        <f t="shared" si="273"/>
        <v>29115/1444</v>
      </c>
      <c r="AI431" s="10" t="str">
        <f t="shared" si="249"/>
        <v>14suse</v>
      </c>
      <c r="AJ431" s="15" t="str">
        <f>"PAPERMATE NYLON FIBRE TIP GREEN PENS 0.8MM LINE WIDTH - BOX OF 12"</f>
        <v>PAPERMATE NYLON FIBRE TIP GREEN PENS 0.8MM LINE WIDTH - BOX OF 12</v>
      </c>
      <c r="AK431" s="10" t="str">
        <f t="shared" si="250"/>
        <v>Revenue</v>
      </c>
      <c r="AL431" s="10" t="str">
        <f>""</f>
        <v/>
      </c>
      <c r="AM431" s="10" t="str">
        <f>""</f>
        <v/>
      </c>
      <c r="AN431" s="10" t="str">
        <f>""</f>
        <v/>
      </c>
      <c r="AO431" s="10" t="str">
        <f>""</f>
        <v/>
      </c>
    </row>
    <row r="432" spans="1:41" s="10" customFormat="1" ht="409.6">
      <c r="A432" s="9"/>
      <c r="B432" s="9"/>
      <c r="C432" s="9"/>
      <c r="D432" s="10" t="str">
        <f>"31816"</f>
        <v>31816</v>
      </c>
      <c r="E432" s="11" t="str">
        <f>""</f>
        <v/>
      </c>
      <c r="F432" s="11" t="str">
        <f t="shared" si="264"/>
        <v>372418</v>
      </c>
      <c r="G432" s="11" t="str">
        <f t="shared" si="265"/>
        <v>2017toJAN</v>
      </c>
      <c r="H432" s="11" t="str">
        <f t="shared" si="266"/>
        <v>CRSP06B</v>
      </c>
      <c r="I432" s="11" t="str">
        <f t="shared" si="267"/>
        <v>34</v>
      </c>
      <c r="J432" s="11" t="str">
        <f t="shared" si="268"/>
        <v>Creditor</v>
      </c>
      <c r="K432" s="11" t="str">
        <f t="shared" si="245"/>
        <v>CS000551</v>
      </c>
      <c r="L432" s="10" t="str">
        <f t="shared" si="246"/>
        <v>Lyreco UK Ltd</v>
      </c>
      <c r="M432" s="12" t="str">
        <f t="shared" si="274"/>
        <v>27/01/2017 00:00:00</v>
      </c>
      <c r="N432" s="12">
        <v>42762</v>
      </c>
      <c r="O432" s="10" t="str">
        <f t="shared" si="275"/>
        <v>C007779</v>
      </c>
      <c r="P432" s="13">
        <v>6.72</v>
      </c>
      <c r="Q432" s="11" t="str">
        <f>"6.7200"</f>
        <v>6.7200</v>
      </c>
      <c r="R432" s="10" t="str">
        <f t="shared" si="276"/>
        <v>C0004586</v>
      </c>
      <c r="S432" s="14" t="str">
        <f t="shared" si="277"/>
        <v>1213.7800</v>
      </c>
      <c r="T432" s="10">
        <v>29115</v>
      </c>
      <c r="U432" s="10">
        <v>1444</v>
      </c>
      <c r="V432" s="10" t="str">
        <f t="shared" si="247"/>
        <v>Printing Stationery &amp; Off Supp</v>
      </c>
      <c r="W432" s="10" t="str">
        <f t="shared" si="248"/>
        <v>Supplies and Services</v>
      </c>
      <c r="X432" s="10" t="str">
        <f>VLOOKUP(U432,'[1]Account code lookup'!A:B,2,0)</f>
        <v>Stationery</v>
      </c>
      <c r="Z432" s="10" t="str">
        <f t="shared" si="269"/>
        <v>Development Management</v>
      </c>
      <c r="AA432" s="10" t="str">
        <f t="shared" si="270"/>
        <v>Strategy and Commissioning</v>
      </c>
      <c r="AB432" s="10" t="str">
        <f t="shared" si="271"/>
        <v>4sac</v>
      </c>
      <c r="AD432" s="10" t="str">
        <f t="shared" si="272"/>
        <v>sac02</v>
      </c>
      <c r="AE432" s="10" t="str">
        <f t="shared" si="278"/>
        <v>Finance &amp; Procurement / Head of Finance &amp; Procurement</v>
      </c>
      <c r="AG432" s="10" t="str">
        <f t="shared" si="273"/>
        <v>29115/1444</v>
      </c>
      <c r="AI432" s="10" t="str">
        <f t="shared" si="249"/>
        <v>14suse</v>
      </c>
      <c r="AJ432" s="15" t="str">
        <f>"PAPERMATE NYLON FIBRE TIP RED PENS 0.8MM LINE WIDTH - BOX OF 12"</f>
        <v>PAPERMATE NYLON FIBRE TIP RED PENS 0.8MM LINE WIDTH - BOX OF 12</v>
      </c>
      <c r="AK432" s="10" t="str">
        <f t="shared" si="250"/>
        <v>Revenue</v>
      </c>
      <c r="AL432" s="10" t="str">
        <f>""</f>
        <v/>
      </c>
      <c r="AM432" s="10" t="str">
        <f>""</f>
        <v/>
      </c>
      <c r="AN432" s="10" t="str">
        <f>""</f>
        <v/>
      </c>
      <c r="AO432" s="10" t="str">
        <f>""</f>
        <v/>
      </c>
    </row>
    <row r="433" spans="1:41" s="10" customFormat="1" ht="409.6">
      <c r="A433" s="9"/>
      <c r="B433" s="9"/>
      <c r="C433" s="9"/>
      <c r="D433" s="10" t="str">
        <f>"31817"</f>
        <v>31817</v>
      </c>
      <c r="E433" s="11" t="str">
        <f>""</f>
        <v/>
      </c>
      <c r="F433" s="11" t="str">
        <f t="shared" si="264"/>
        <v>372418</v>
      </c>
      <c r="G433" s="11" t="str">
        <f t="shared" si="265"/>
        <v>2017toJAN</v>
      </c>
      <c r="H433" s="11" t="str">
        <f t="shared" si="266"/>
        <v>CRSP06B</v>
      </c>
      <c r="I433" s="11" t="str">
        <f t="shared" si="267"/>
        <v>34</v>
      </c>
      <c r="J433" s="11" t="str">
        <f t="shared" si="268"/>
        <v>Creditor</v>
      </c>
      <c r="K433" s="11" t="str">
        <f>"CS002962"</f>
        <v>CS002962</v>
      </c>
      <c r="L433" s="10" t="str">
        <f>"Macdonald &amp; Company "</f>
        <v xml:space="preserve">Macdonald &amp; Company </v>
      </c>
      <c r="M433" s="12" t="str">
        <f>"10/01/2017 00:00:00"</f>
        <v>10/01/2017 00:00:00</v>
      </c>
      <c r="N433" s="12">
        <v>42745</v>
      </c>
      <c r="O433" s="10" t="str">
        <f>"C007013"</f>
        <v>C007013</v>
      </c>
      <c r="P433" s="13">
        <v>962</v>
      </c>
      <c r="Q433" s="11" t="str">
        <f>"962.0000"</f>
        <v>962.0000</v>
      </c>
      <c r="R433" s="10" t="str">
        <f>"059226"</f>
        <v>059226</v>
      </c>
      <c r="S433" s="14" t="str">
        <f>"1154.4000"</f>
        <v>1154.4000</v>
      </c>
      <c r="T433" s="10">
        <v>29110</v>
      </c>
      <c r="U433" s="10">
        <v>1136</v>
      </c>
      <c r="V433" s="10" t="str">
        <f t="shared" ref="V433:V440" si="279">"Direct employee exps and bens"</f>
        <v>Direct employee exps and bens</v>
      </c>
      <c r="W433" s="10" t="str">
        <f t="shared" ref="W433:W440" si="280">"Employees"</f>
        <v>Employees</v>
      </c>
      <c r="X433" s="10" t="str">
        <f>VLOOKUP(U433,'[1]Account code lookup'!A:B,2,0)</f>
        <v>Agency Staff</v>
      </c>
      <c r="Z433" s="10" t="str">
        <f t="shared" si="269"/>
        <v>Development Management</v>
      </c>
      <c r="AA433" s="10" t="str">
        <f t="shared" si="270"/>
        <v>Strategy and Commissioning</v>
      </c>
      <c r="AB433" s="10" t="str">
        <f t="shared" si="271"/>
        <v>4sac</v>
      </c>
      <c r="AD433" s="10" t="str">
        <f t="shared" si="272"/>
        <v>sac02</v>
      </c>
      <c r="AE433" s="10" t="str">
        <f t="shared" ref="AE433:AE440" si="281">"Development Management / Development Management"</f>
        <v>Development Management / Development Management</v>
      </c>
      <c r="AG433" s="10" t="str">
        <f t="shared" ref="AG433:AG440" si="282">"29110/1136"</f>
        <v>29110/1136</v>
      </c>
      <c r="AI433" s="10" t="str">
        <f t="shared" ref="AI433:AI440" si="283">"11emps"</f>
        <v>11emps</v>
      </c>
      <c r="AJ433" s="15" t="str">
        <f>""</f>
        <v/>
      </c>
      <c r="AK433" s="10" t="str">
        <f t="shared" si="250"/>
        <v>Revenue</v>
      </c>
      <c r="AL433" s="10" t="str">
        <f>""</f>
        <v/>
      </c>
      <c r="AM433" s="10" t="str">
        <f>""</f>
        <v/>
      </c>
      <c r="AN433" s="10" t="str">
        <f>""</f>
        <v/>
      </c>
      <c r="AO433" s="10" t="str">
        <f>""</f>
        <v/>
      </c>
    </row>
    <row r="434" spans="1:41" s="10" customFormat="1" ht="409.6">
      <c r="A434" s="9"/>
      <c r="B434" s="9"/>
      <c r="C434" s="9"/>
      <c r="D434" s="10" t="str">
        <f>"31818"</f>
        <v>31818</v>
      </c>
      <c r="E434" s="11" t="str">
        <f>""</f>
        <v/>
      </c>
      <c r="F434" s="11" t="str">
        <f t="shared" si="264"/>
        <v>372418</v>
      </c>
      <c r="G434" s="11" t="str">
        <f t="shared" si="265"/>
        <v>2017toJAN</v>
      </c>
      <c r="H434" s="11" t="str">
        <f t="shared" si="266"/>
        <v>CRSP06B</v>
      </c>
      <c r="I434" s="11" t="str">
        <f t="shared" si="267"/>
        <v>34</v>
      </c>
      <c r="J434" s="11" t="str">
        <f t="shared" si="268"/>
        <v>Creditor</v>
      </c>
      <c r="K434" s="11" t="str">
        <f>"CS002962"</f>
        <v>CS002962</v>
      </c>
      <c r="L434" s="10" t="str">
        <f>"Macdonald &amp; Company "</f>
        <v xml:space="preserve">Macdonald &amp; Company </v>
      </c>
      <c r="M434" s="12" t="str">
        <f>"19/01/2017 00:00:00"</f>
        <v>19/01/2017 00:00:00</v>
      </c>
      <c r="N434" s="12">
        <v>42754</v>
      </c>
      <c r="O434" s="10" t="str">
        <f>"C007182"</f>
        <v>C007182</v>
      </c>
      <c r="P434" s="13">
        <v>1040.5999999999999</v>
      </c>
      <c r="Q434" s="11" t="str">
        <f>"1040.6000"</f>
        <v>1040.6000</v>
      </c>
      <c r="R434" s="10" t="str">
        <f>"059255"</f>
        <v>059255</v>
      </c>
      <c r="S434" s="14" t="str">
        <f>"2403.1200"</f>
        <v>2403.1200</v>
      </c>
      <c r="T434" s="10">
        <v>29110</v>
      </c>
      <c r="U434" s="10">
        <v>1136</v>
      </c>
      <c r="V434" s="10" t="str">
        <f t="shared" si="279"/>
        <v>Direct employee exps and bens</v>
      </c>
      <c r="W434" s="10" t="str">
        <f t="shared" si="280"/>
        <v>Employees</v>
      </c>
      <c r="X434" s="10" t="str">
        <f>VLOOKUP(U434,'[1]Account code lookup'!A:B,2,0)</f>
        <v>Agency Staff</v>
      </c>
      <c r="Z434" s="10" t="str">
        <f t="shared" si="269"/>
        <v>Development Management</v>
      </c>
      <c r="AA434" s="10" t="str">
        <f t="shared" si="270"/>
        <v>Strategy and Commissioning</v>
      </c>
      <c r="AB434" s="10" t="str">
        <f t="shared" si="271"/>
        <v>4sac</v>
      </c>
      <c r="AD434" s="10" t="str">
        <f t="shared" si="272"/>
        <v>sac02</v>
      </c>
      <c r="AE434" s="10" t="str">
        <f t="shared" si="281"/>
        <v>Development Management / Development Management</v>
      </c>
      <c r="AG434" s="10" t="str">
        <f t="shared" si="282"/>
        <v>29110/1136</v>
      </c>
      <c r="AI434" s="10" t="str">
        <f t="shared" si="283"/>
        <v>11emps</v>
      </c>
      <c r="AJ434" s="15" t="str">
        <f>""</f>
        <v/>
      </c>
      <c r="AK434" s="10" t="str">
        <f t="shared" si="250"/>
        <v>Revenue</v>
      </c>
      <c r="AL434" s="10" t="str">
        <f>""</f>
        <v/>
      </c>
      <c r="AM434" s="10" t="str">
        <f>""</f>
        <v/>
      </c>
      <c r="AN434" s="10" t="str">
        <f>""</f>
        <v/>
      </c>
      <c r="AO434" s="10" t="str">
        <f>""</f>
        <v/>
      </c>
    </row>
    <row r="435" spans="1:41" s="10" customFormat="1" ht="409.6">
      <c r="A435" s="9"/>
      <c r="B435" s="9"/>
      <c r="C435" s="9"/>
      <c r="D435" s="10" t="str">
        <f>"31819"</f>
        <v>31819</v>
      </c>
      <c r="E435" s="11" t="str">
        <f>""</f>
        <v/>
      </c>
      <c r="F435" s="11" t="str">
        <f t="shared" si="264"/>
        <v>372418</v>
      </c>
      <c r="G435" s="11" t="str">
        <f t="shared" si="265"/>
        <v>2017toJAN</v>
      </c>
      <c r="H435" s="11" t="str">
        <f t="shared" si="266"/>
        <v>CRSP06B</v>
      </c>
      <c r="I435" s="11" t="str">
        <f t="shared" si="267"/>
        <v>34</v>
      </c>
      <c r="J435" s="11" t="str">
        <f t="shared" si="268"/>
        <v>Creditor</v>
      </c>
      <c r="K435" s="11" t="str">
        <f>"CS002962"</f>
        <v>CS002962</v>
      </c>
      <c r="L435" s="10" t="str">
        <f>"Macdonald &amp; Company "</f>
        <v xml:space="preserve">Macdonald &amp; Company </v>
      </c>
      <c r="M435" s="12" t="str">
        <f>"19/01/2017 00:00:00"</f>
        <v>19/01/2017 00:00:00</v>
      </c>
      <c r="N435" s="12">
        <v>42754</v>
      </c>
      <c r="O435" s="10" t="str">
        <f>"C007794"</f>
        <v>C007794</v>
      </c>
      <c r="P435" s="13">
        <v>962</v>
      </c>
      <c r="Q435" s="11" t="str">
        <f>"962.0000"</f>
        <v>962.0000</v>
      </c>
      <c r="R435" s="10" t="str">
        <f>"059255"</f>
        <v>059255</v>
      </c>
      <c r="S435" s="14" t="str">
        <f>"2403.1200"</f>
        <v>2403.1200</v>
      </c>
      <c r="T435" s="10">
        <v>29110</v>
      </c>
      <c r="U435" s="10">
        <v>1136</v>
      </c>
      <c r="V435" s="10" t="str">
        <f t="shared" si="279"/>
        <v>Direct employee exps and bens</v>
      </c>
      <c r="W435" s="10" t="str">
        <f t="shared" si="280"/>
        <v>Employees</v>
      </c>
      <c r="X435" s="10" t="str">
        <f>VLOOKUP(U435,'[1]Account code lookup'!A:B,2,0)</f>
        <v>Agency Staff</v>
      </c>
      <c r="Z435" s="10" t="str">
        <f t="shared" si="269"/>
        <v>Development Management</v>
      </c>
      <c r="AA435" s="10" t="str">
        <f t="shared" si="270"/>
        <v>Strategy and Commissioning</v>
      </c>
      <c r="AB435" s="10" t="str">
        <f t="shared" si="271"/>
        <v>4sac</v>
      </c>
      <c r="AD435" s="10" t="str">
        <f t="shared" si="272"/>
        <v>sac02</v>
      </c>
      <c r="AE435" s="10" t="str">
        <f t="shared" si="281"/>
        <v>Development Management / Development Management</v>
      </c>
      <c r="AG435" s="10" t="str">
        <f t="shared" si="282"/>
        <v>29110/1136</v>
      </c>
      <c r="AI435" s="10" t="str">
        <f t="shared" si="283"/>
        <v>11emps</v>
      </c>
      <c r="AJ435" s="15" t="str">
        <f>""</f>
        <v/>
      </c>
      <c r="AK435" s="10" t="str">
        <f t="shared" si="250"/>
        <v>Revenue</v>
      </c>
      <c r="AL435" s="10" t="str">
        <f>""</f>
        <v/>
      </c>
      <c r="AM435" s="10" t="str">
        <f>""</f>
        <v/>
      </c>
      <c r="AN435" s="10" t="str">
        <f>""</f>
        <v/>
      </c>
      <c r="AO435" s="10" t="str">
        <f>""</f>
        <v/>
      </c>
    </row>
    <row r="436" spans="1:41" s="10" customFormat="1" ht="409.6">
      <c r="A436" s="9"/>
      <c r="B436" s="9"/>
      <c r="C436" s="9"/>
      <c r="D436" s="10" t="str">
        <f>"31820"</f>
        <v>31820</v>
      </c>
      <c r="E436" s="11" t="str">
        <f>""</f>
        <v/>
      </c>
      <c r="F436" s="11" t="str">
        <f t="shared" si="264"/>
        <v>372418</v>
      </c>
      <c r="G436" s="11" t="str">
        <f t="shared" si="265"/>
        <v>2017toJAN</v>
      </c>
      <c r="H436" s="11" t="str">
        <f t="shared" si="266"/>
        <v>CRSP06B</v>
      </c>
      <c r="I436" s="11" t="str">
        <f t="shared" si="267"/>
        <v>34</v>
      </c>
      <c r="J436" s="11" t="str">
        <f t="shared" si="268"/>
        <v>Creditor</v>
      </c>
      <c r="K436" s="11" t="str">
        <f>"CS002962"</f>
        <v>CS002962</v>
      </c>
      <c r="L436" s="10" t="str">
        <f>"Macdonald &amp; Company "</f>
        <v xml:space="preserve">Macdonald &amp; Company </v>
      </c>
      <c r="M436" s="12" t="str">
        <f>"27/01/2017 00:00:00"</f>
        <v>27/01/2017 00:00:00</v>
      </c>
      <c r="N436" s="12">
        <v>42762</v>
      </c>
      <c r="O436" s="10" t="str">
        <f>"C007968"</f>
        <v>C007968</v>
      </c>
      <c r="P436" s="13">
        <v>2300.48</v>
      </c>
      <c r="Q436" s="11" t="str">
        <f>"2300.4800"</f>
        <v>2300.4800</v>
      </c>
      <c r="R436" s="10" t="str">
        <f>"C0004626"</f>
        <v>C0004626</v>
      </c>
      <c r="S436" s="14" t="str">
        <f>"2760.5800"</f>
        <v>2760.5800</v>
      </c>
      <c r="T436" s="10">
        <v>29110</v>
      </c>
      <c r="U436" s="10">
        <v>1136</v>
      </c>
      <c r="V436" s="10" t="str">
        <f t="shared" si="279"/>
        <v>Direct employee exps and bens</v>
      </c>
      <c r="W436" s="10" t="str">
        <f t="shared" si="280"/>
        <v>Employees</v>
      </c>
      <c r="X436" s="10" t="str">
        <f>VLOOKUP(U436,'[1]Account code lookup'!A:B,2,0)</f>
        <v>Agency Staff</v>
      </c>
      <c r="Z436" s="10" t="str">
        <f t="shared" si="269"/>
        <v>Development Management</v>
      </c>
      <c r="AA436" s="10" t="str">
        <f t="shared" si="270"/>
        <v>Strategy and Commissioning</v>
      </c>
      <c r="AB436" s="10" t="str">
        <f t="shared" si="271"/>
        <v>4sac</v>
      </c>
      <c r="AD436" s="10" t="str">
        <f t="shared" si="272"/>
        <v>sac02</v>
      </c>
      <c r="AE436" s="10" t="str">
        <f t="shared" si="281"/>
        <v>Development Management / Development Management</v>
      </c>
      <c r="AG436" s="10" t="str">
        <f t="shared" si="282"/>
        <v>29110/1136</v>
      </c>
      <c r="AI436" s="10" t="str">
        <f t="shared" si="283"/>
        <v>11emps</v>
      </c>
      <c r="AJ436" s="15" t="str">
        <f>""</f>
        <v/>
      </c>
      <c r="AK436" s="10" t="str">
        <f t="shared" si="250"/>
        <v>Revenue</v>
      </c>
      <c r="AL436" s="10" t="str">
        <f>""</f>
        <v/>
      </c>
      <c r="AM436" s="10" t="str">
        <f>""</f>
        <v/>
      </c>
      <c r="AN436" s="10" t="str">
        <f>""</f>
        <v/>
      </c>
      <c r="AO436" s="10" t="str">
        <f>""</f>
        <v/>
      </c>
    </row>
    <row r="437" spans="1:41" s="10" customFormat="1" ht="409.6">
      <c r="A437" s="9"/>
      <c r="B437" s="9"/>
      <c r="C437" s="9"/>
      <c r="D437" s="10" t="str">
        <f>"31821"</f>
        <v>31821</v>
      </c>
      <c r="E437" s="11" t="str">
        <f>""</f>
        <v/>
      </c>
      <c r="F437" s="11" t="str">
        <f t="shared" si="264"/>
        <v>372418</v>
      </c>
      <c r="G437" s="11" t="str">
        <f t="shared" si="265"/>
        <v>2017toJAN</v>
      </c>
      <c r="H437" s="11" t="str">
        <f t="shared" si="266"/>
        <v>CRSP06B</v>
      </c>
      <c r="I437" s="11" t="str">
        <f t="shared" si="267"/>
        <v>34</v>
      </c>
      <c r="J437" s="11" t="str">
        <f t="shared" si="268"/>
        <v>Creditor</v>
      </c>
      <c r="K437" s="11" t="str">
        <f>"CS000450"</f>
        <v>CS000450</v>
      </c>
      <c r="L437" s="10" t="str">
        <f>"Matchtech"</f>
        <v>Matchtech</v>
      </c>
      <c r="M437" s="12" t="str">
        <f>"13/01/2017 00:00:00"</f>
        <v>13/01/2017 00:00:00</v>
      </c>
      <c r="N437" s="12">
        <v>42748</v>
      </c>
      <c r="O437" s="10" t="str">
        <f>"C007408"</f>
        <v>C007408</v>
      </c>
      <c r="P437" s="13">
        <v>1755</v>
      </c>
      <c r="Q437" s="11" t="str">
        <f>"1755.0000"</f>
        <v>1755.0000</v>
      </c>
      <c r="R437" s="10" t="str">
        <f>"C0004398"</f>
        <v>C0004398</v>
      </c>
      <c r="S437" s="14" t="str">
        <f>"2106.0000"</f>
        <v>2106.0000</v>
      </c>
      <c r="T437" s="10">
        <v>29110</v>
      </c>
      <c r="U437" s="10">
        <v>1136</v>
      </c>
      <c r="V437" s="10" t="str">
        <f t="shared" si="279"/>
        <v>Direct employee exps and bens</v>
      </c>
      <c r="W437" s="10" t="str">
        <f t="shared" si="280"/>
        <v>Employees</v>
      </c>
      <c r="X437" s="10" t="str">
        <f>VLOOKUP(U437,'[1]Account code lookup'!A:B,2,0)</f>
        <v>Agency Staff</v>
      </c>
      <c r="Z437" s="10" t="str">
        <f t="shared" si="269"/>
        <v>Development Management</v>
      </c>
      <c r="AA437" s="10" t="str">
        <f t="shared" si="270"/>
        <v>Strategy and Commissioning</v>
      </c>
      <c r="AB437" s="10" t="str">
        <f t="shared" si="271"/>
        <v>4sac</v>
      </c>
      <c r="AD437" s="10" t="str">
        <f t="shared" si="272"/>
        <v>sac02</v>
      </c>
      <c r="AE437" s="10" t="str">
        <f t="shared" si="281"/>
        <v>Development Management / Development Management</v>
      </c>
      <c r="AG437" s="10" t="str">
        <f t="shared" si="282"/>
        <v>29110/1136</v>
      </c>
      <c r="AI437" s="10" t="str">
        <f t="shared" si="283"/>
        <v>11emps</v>
      </c>
      <c r="AJ437" s="15" t="str">
        <f>""</f>
        <v/>
      </c>
      <c r="AK437" s="10" t="str">
        <f t="shared" si="250"/>
        <v>Revenue</v>
      </c>
      <c r="AL437" s="10" t="str">
        <f>""</f>
        <v/>
      </c>
      <c r="AM437" s="10" t="str">
        <f>""</f>
        <v/>
      </c>
      <c r="AN437" s="10" t="str">
        <f>""</f>
        <v/>
      </c>
      <c r="AO437" s="10" t="str">
        <f>""</f>
        <v/>
      </c>
    </row>
    <row r="438" spans="1:41" s="10" customFormat="1" ht="409.6">
      <c r="A438" s="9"/>
      <c r="B438" s="9"/>
      <c r="C438" s="9"/>
      <c r="D438" s="10" t="str">
        <f>"31822"</f>
        <v>31822</v>
      </c>
      <c r="E438" s="11" t="str">
        <f>""</f>
        <v/>
      </c>
      <c r="F438" s="11" t="str">
        <f t="shared" si="264"/>
        <v>372418</v>
      </c>
      <c r="G438" s="11" t="str">
        <f t="shared" si="265"/>
        <v>2017toJAN</v>
      </c>
      <c r="H438" s="11" t="str">
        <f t="shared" si="266"/>
        <v>CRSP06B</v>
      </c>
      <c r="I438" s="11" t="str">
        <f t="shared" si="267"/>
        <v>34</v>
      </c>
      <c r="J438" s="11" t="str">
        <f t="shared" si="268"/>
        <v>Creditor</v>
      </c>
      <c r="K438" s="11" t="str">
        <f>"CS000450"</f>
        <v>CS000450</v>
      </c>
      <c r="L438" s="10" t="str">
        <f>"Matchtech"</f>
        <v>Matchtech</v>
      </c>
      <c r="M438" s="12" t="str">
        <f>"20/01/2017 00:00:00"</f>
        <v>20/01/2017 00:00:00</v>
      </c>
      <c r="N438" s="12">
        <v>42755</v>
      </c>
      <c r="O438" s="10" t="str">
        <f>"C007522"</f>
        <v>C007522</v>
      </c>
      <c r="P438" s="13">
        <v>1890</v>
      </c>
      <c r="Q438" s="11" t="str">
        <f>"1890.0000"</f>
        <v>1890.0000</v>
      </c>
      <c r="R438" s="10" t="str">
        <f>"C0004491"</f>
        <v>C0004491</v>
      </c>
      <c r="S438" s="14" t="str">
        <f>"2326.3200"</f>
        <v>2326.3200</v>
      </c>
      <c r="T438" s="10">
        <v>29110</v>
      </c>
      <c r="U438" s="10">
        <v>1136</v>
      </c>
      <c r="V438" s="10" t="str">
        <f t="shared" si="279"/>
        <v>Direct employee exps and bens</v>
      </c>
      <c r="W438" s="10" t="str">
        <f t="shared" si="280"/>
        <v>Employees</v>
      </c>
      <c r="X438" s="10" t="str">
        <f>VLOOKUP(U438,'[1]Account code lookup'!A:B,2,0)</f>
        <v>Agency Staff</v>
      </c>
      <c r="Z438" s="10" t="str">
        <f t="shared" si="269"/>
        <v>Development Management</v>
      </c>
      <c r="AA438" s="10" t="str">
        <f t="shared" si="270"/>
        <v>Strategy and Commissioning</v>
      </c>
      <c r="AB438" s="10" t="str">
        <f t="shared" si="271"/>
        <v>4sac</v>
      </c>
      <c r="AD438" s="10" t="str">
        <f t="shared" si="272"/>
        <v>sac02</v>
      </c>
      <c r="AE438" s="10" t="str">
        <f t="shared" si="281"/>
        <v>Development Management / Development Management</v>
      </c>
      <c r="AG438" s="10" t="str">
        <f t="shared" si="282"/>
        <v>29110/1136</v>
      </c>
      <c r="AI438" s="10" t="str">
        <f t="shared" si="283"/>
        <v>11emps</v>
      </c>
      <c r="AJ438" s="15" t="str">
        <f>""</f>
        <v/>
      </c>
      <c r="AK438" s="10" t="str">
        <f t="shared" si="250"/>
        <v>Revenue</v>
      </c>
      <c r="AL438" s="10" t="str">
        <f>""</f>
        <v/>
      </c>
      <c r="AM438" s="10" t="str">
        <f>""</f>
        <v/>
      </c>
      <c r="AN438" s="10" t="str">
        <f>""</f>
        <v/>
      </c>
      <c r="AO438" s="10" t="str">
        <f>""</f>
        <v/>
      </c>
    </row>
    <row r="439" spans="1:41" s="10" customFormat="1" ht="409.6">
      <c r="A439" s="9"/>
      <c r="B439" s="9"/>
      <c r="C439" s="9"/>
      <c r="D439" s="10" t="str">
        <f>"31823"</f>
        <v>31823</v>
      </c>
      <c r="E439" s="11" t="str">
        <f>""</f>
        <v/>
      </c>
      <c r="F439" s="11" t="str">
        <f t="shared" si="264"/>
        <v>372418</v>
      </c>
      <c r="G439" s="11" t="str">
        <f t="shared" si="265"/>
        <v>2017toJAN</v>
      </c>
      <c r="H439" s="11" t="str">
        <f t="shared" si="266"/>
        <v>CRSP06B</v>
      </c>
      <c r="I439" s="11" t="str">
        <f t="shared" si="267"/>
        <v>34</v>
      </c>
      <c r="J439" s="11" t="str">
        <f t="shared" si="268"/>
        <v>Creditor</v>
      </c>
      <c r="K439" s="11" t="str">
        <f>"CS000450"</f>
        <v>CS000450</v>
      </c>
      <c r="L439" s="10" t="str">
        <f>"Matchtech"</f>
        <v>Matchtech</v>
      </c>
      <c r="M439" s="12" t="str">
        <f>"20/01/2017 00:00:00"</f>
        <v>20/01/2017 00:00:00</v>
      </c>
      <c r="N439" s="12">
        <v>42755</v>
      </c>
      <c r="O439" s="10" t="str">
        <f>"C007523"</f>
        <v>C007523</v>
      </c>
      <c r="P439" s="13">
        <v>48.6</v>
      </c>
      <c r="Q439" s="11" t="str">
        <f>"48.6000"</f>
        <v>48.6000</v>
      </c>
      <c r="R439" s="10" t="str">
        <f>"C0004491"</f>
        <v>C0004491</v>
      </c>
      <c r="S439" s="14" t="str">
        <f>"2326.3200"</f>
        <v>2326.3200</v>
      </c>
      <c r="T439" s="10">
        <v>29110</v>
      </c>
      <c r="U439" s="10">
        <v>1136</v>
      </c>
      <c r="V439" s="10" t="str">
        <f t="shared" si="279"/>
        <v>Direct employee exps and bens</v>
      </c>
      <c r="W439" s="10" t="str">
        <f t="shared" si="280"/>
        <v>Employees</v>
      </c>
      <c r="X439" s="10" t="str">
        <f>VLOOKUP(U439,'[1]Account code lookup'!A:B,2,0)</f>
        <v>Agency Staff</v>
      </c>
      <c r="Z439" s="10" t="str">
        <f t="shared" si="269"/>
        <v>Development Management</v>
      </c>
      <c r="AA439" s="10" t="str">
        <f t="shared" si="270"/>
        <v>Strategy and Commissioning</v>
      </c>
      <c r="AB439" s="10" t="str">
        <f t="shared" si="271"/>
        <v>4sac</v>
      </c>
      <c r="AD439" s="10" t="str">
        <f t="shared" si="272"/>
        <v>sac02</v>
      </c>
      <c r="AE439" s="10" t="str">
        <f t="shared" si="281"/>
        <v>Development Management / Development Management</v>
      </c>
      <c r="AG439" s="10" t="str">
        <f t="shared" si="282"/>
        <v>29110/1136</v>
      </c>
      <c r="AI439" s="10" t="str">
        <f t="shared" si="283"/>
        <v>11emps</v>
      </c>
      <c r="AJ439" s="15" t="str">
        <f>""</f>
        <v/>
      </c>
      <c r="AK439" s="10" t="str">
        <f t="shared" si="250"/>
        <v>Revenue</v>
      </c>
      <c r="AL439" s="10" t="str">
        <f>""</f>
        <v/>
      </c>
      <c r="AM439" s="10" t="str">
        <f>""</f>
        <v/>
      </c>
      <c r="AN439" s="10" t="str">
        <f>""</f>
        <v/>
      </c>
      <c r="AO439" s="10" t="str">
        <f>""</f>
        <v/>
      </c>
    </row>
    <row r="440" spans="1:41" s="10" customFormat="1" ht="409.6">
      <c r="A440" s="9"/>
      <c r="B440" s="9"/>
      <c r="C440" s="9"/>
      <c r="D440" s="10" t="str">
        <f>"31824"</f>
        <v>31824</v>
      </c>
      <c r="E440" s="11" t="str">
        <f>""</f>
        <v/>
      </c>
      <c r="F440" s="11" t="str">
        <f t="shared" si="264"/>
        <v>372418</v>
      </c>
      <c r="G440" s="11" t="str">
        <f t="shared" si="265"/>
        <v>2017toJAN</v>
      </c>
      <c r="H440" s="11" t="str">
        <f t="shared" si="266"/>
        <v>CRSP06B</v>
      </c>
      <c r="I440" s="11" t="str">
        <f t="shared" si="267"/>
        <v>34</v>
      </c>
      <c r="J440" s="11" t="str">
        <f t="shared" si="268"/>
        <v>Creditor</v>
      </c>
      <c r="K440" s="11" t="str">
        <f>"CS000450"</f>
        <v>CS000450</v>
      </c>
      <c r="L440" s="10" t="str">
        <f>"Matchtech"</f>
        <v>Matchtech</v>
      </c>
      <c r="M440" s="12" t="str">
        <f>"25/01/2017 00:00:00"</f>
        <v>25/01/2017 00:00:00</v>
      </c>
      <c r="N440" s="12">
        <v>42760</v>
      </c>
      <c r="O440" s="10" t="str">
        <f>"C007594"</f>
        <v>C007594</v>
      </c>
      <c r="P440" s="13">
        <v>1845</v>
      </c>
      <c r="Q440" s="11" t="str">
        <f>"1845.0000"</f>
        <v>1845.0000</v>
      </c>
      <c r="R440" s="10" t="str">
        <f>"C0004551"</f>
        <v>C0004551</v>
      </c>
      <c r="S440" s="14" t="str">
        <f>"2214.0000"</f>
        <v>2214.0000</v>
      </c>
      <c r="T440" s="10">
        <v>29110</v>
      </c>
      <c r="U440" s="10">
        <v>1136</v>
      </c>
      <c r="V440" s="10" t="str">
        <f t="shared" si="279"/>
        <v>Direct employee exps and bens</v>
      </c>
      <c r="W440" s="10" t="str">
        <f t="shared" si="280"/>
        <v>Employees</v>
      </c>
      <c r="X440" s="10" t="str">
        <f>VLOOKUP(U440,'[1]Account code lookup'!A:B,2,0)</f>
        <v>Agency Staff</v>
      </c>
      <c r="Z440" s="10" t="str">
        <f t="shared" si="269"/>
        <v>Development Management</v>
      </c>
      <c r="AA440" s="10" t="str">
        <f t="shared" si="270"/>
        <v>Strategy and Commissioning</v>
      </c>
      <c r="AB440" s="10" t="str">
        <f t="shared" si="271"/>
        <v>4sac</v>
      </c>
      <c r="AD440" s="10" t="str">
        <f t="shared" si="272"/>
        <v>sac02</v>
      </c>
      <c r="AE440" s="10" t="str">
        <f t="shared" si="281"/>
        <v>Development Management / Development Management</v>
      </c>
      <c r="AG440" s="10" t="str">
        <f t="shared" si="282"/>
        <v>29110/1136</v>
      </c>
      <c r="AI440" s="10" t="str">
        <f t="shared" si="283"/>
        <v>11emps</v>
      </c>
      <c r="AJ440" s="15" t="str">
        <f>""</f>
        <v/>
      </c>
      <c r="AK440" s="10" t="str">
        <f t="shared" si="250"/>
        <v>Revenue</v>
      </c>
      <c r="AL440" s="10" t="str">
        <f>""</f>
        <v/>
      </c>
      <c r="AM440" s="10" t="str">
        <f>""</f>
        <v/>
      </c>
      <c r="AN440" s="10" t="str">
        <f>""</f>
        <v/>
      </c>
      <c r="AO440" s="10" t="str">
        <f>""</f>
        <v/>
      </c>
    </row>
    <row r="441" spans="1:41" s="10" customFormat="1" ht="409.6">
      <c r="A441" s="9"/>
      <c r="B441" s="9"/>
      <c r="C441" s="9"/>
      <c r="D441" s="10" t="str">
        <f>"31825"</f>
        <v>31825</v>
      </c>
      <c r="E441" s="11" t="str">
        <f>""</f>
        <v/>
      </c>
      <c r="F441" s="11" t="str">
        <f t="shared" si="264"/>
        <v>372418</v>
      </c>
      <c r="G441" s="11" t="str">
        <f t="shared" si="265"/>
        <v>2017toJAN</v>
      </c>
      <c r="H441" s="11" t="str">
        <f t="shared" si="266"/>
        <v>CRSP06B</v>
      </c>
      <c r="I441" s="11" t="str">
        <f t="shared" si="267"/>
        <v>34</v>
      </c>
      <c r="J441" s="11" t="str">
        <f t="shared" si="268"/>
        <v>Creditor</v>
      </c>
      <c r="K441" s="11" t="str">
        <f>"CS000452"</f>
        <v>CS000452</v>
      </c>
      <c r="L441" s="10" t="str">
        <f>"Maverish Ltd"</f>
        <v>Maverish Ltd</v>
      </c>
      <c r="M441" s="12" t="str">
        <f>"13/01/2017 00:00:00"</f>
        <v>13/01/2017 00:00:00</v>
      </c>
      <c r="N441" s="12">
        <v>42748</v>
      </c>
      <c r="O441" s="10" t="str">
        <f>"C007869"</f>
        <v>C007869</v>
      </c>
      <c r="P441" s="13">
        <v>1350</v>
      </c>
      <c r="Q441" s="11" t="str">
        <f>"1350.0000"</f>
        <v>1350.0000</v>
      </c>
      <c r="R441" s="10" t="str">
        <f>"C0004399"</f>
        <v>C0004399</v>
      </c>
      <c r="S441" s="14" t="str">
        <f>"3330.0000"</f>
        <v>3330.0000</v>
      </c>
      <c r="T441" s="10">
        <v>29224</v>
      </c>
      <c r="U441" s="10">
        <v>1765</v>
      </c>
      <c r="V441" s="10" t="str">
        <f>"Professional Fees"</f>
        <v>Professional Fees</v>
      </c>
      <c r="W441" s="10" t="str">
        <f>"Third Party Payments"</f>
        <v>Third Party Payments</v>
      </c>
      <c r="X441" s="10" t="str">
        <f>VLOOKUP(U441,'[1]Account code lookup'!A:B,2,0)</f>
        <v>Consultants Fees</v>
      </c>
      <c r="Z441" s="10" t="str">
        <f>"Bicester Regeneration Projects"</f>
        <v>Bicester Regeneration Projects</v>
      </c>
      <c r="AA441" s="10" t="str">
        <f>"Commercial Development"</f>
        <v>Commercial Development</v>
      </c>
      <c r="AB441" s="10" t="str">
        <f>"2cdb"</f>
        <v>2cdb</v>
      </c>
      <c r="AD441" s="10" t="str">
        <f>"cdb01"</f>
        <v>cdb01</v>
      </c>
      <c r="AE441" s="10" t="str">
        <f>"Finance &amp; Procurement / Head of Finance &amp; Procurement"</f>
        <v>Finance &amp; Procurement / Head of Finance &amp; Procurement</v>
      </c>
      <c r="AG441" s="10" t="str">
        <f>"29224/1765"</f>
        <v>29224/1765</v>
      </c>
      <c r="AI441" s="10" t="str">
        <f>"17tpp"</f>
        <v>17tpp</v>
      </c>
      <c r="AJ441" s="15" t="str">
        <f>"Apprenticeship Training Agency - formation and approval work"</f>
        <v>Apprenticeship Training Agency - formation and approval work</v>
      </c>
      <c r="AK441" s="10" t="str">
        <f t="shared" ref="AK441:AK454" si="284">"Revenue"</f>
        <v>Revenue</v>
      </c>
      <c r="AL441" s="10" t="str">
        <f>""</f>
        <v/>
      </c>
      <c r="AM441" s="10" t="str">
        <f>""</f>
        <v/>
      </c>
      <c r="AN441" s="10" t="str">
        <f>""</f>
        <v/>
      </c>
      <c r="AO441" s="10" t="str">
        <f>""</f>
        <v/>
      </c>
    </row>
    <row r="442" spans="1:41" s="10" customFormat="1" ht="409.6">
      <c r="A442" s="9"/>
      <c r="B442" s="9"/>
      <c r="C442" s="9"/>
      <c r="D442" s="10" t="str">
        <f>"31826"</f>
        <v>31826</v>
      </c>
      <c r="E442" s="11" t="str">
        <f>""</f>
        <v/>
      </c>
      <c r="F442" s="11" t="str">
        <f t="shared" si="264"/>
        <v>372418</v>
      </c>
      <c r="G442" s="11" t="str">
        <f t="shared" si="265"/>
        <v>2017toJAN</v>
      </c>
      <c r="H442" s="11" t="str">
        <f t="shared" si="266"/>
        <v>CRSP06B</v>
      </c>
      <c r="I442" s="11" t="str">
        <f t="shared" si="267"/>
        <v>34</v>
      </c>
      <c r="J442" s="11" t="str">
        <f t="shared" si="268"/>
        <v>Creditor</v>
      </c>
      <c r="K442" s="11" t="str">
        <f>"CS000452"</f>
        <v>CS000452</v>
      </c>
      <c r="L442" s="10" t="str">
        <f>"Maverish Ltd"</f>
        <v>Maverish Ltd</v>
      </c>
      <c r="M442" s="12" t="str">
        <f>"13/01/2017 00:00:00"</f>
        <v>13/01/2017 00:00:00</v>
      </c>
      <c r="N442" s="12">
        <v>42748</v>
      </c>
      <c r="O442" s="10" t="str">
        <f>"C007873"</f>
        <v>C007873</v>
      </c>
      <c r="P442" s="13">
        <v>1425</v>
      </c>
      <c r="Q442" s="11" t="str">
        <f>"1425.0000"</f>
        <v>1425.0000</v>
      </c>
      <c r="R442" s="10" t="str">
        <f>"C0004399"</f>
        <v>C0004399</v>
      </c>
      <c r="S442" s="14" t="str">
        <f>"3330.0000"</f>
        <v>3330.0000</v>
      </c>
      <c r="T442" s="10">
        <v>29224</v>
      </c>
      <c r="U442" s="10">
        <v>1765</v>
      </c>
      <c r="V442" s="10" t="str">
        <f>"Professional Fees"</f>
        <v>Professional Fees</v>
      </c>
      <c r="W442" s="10" t="str">
        <f>"Third Party Payments"</f>
        <v>Third Party Payments</v>
      </c>
      <c r="X442" s="10" t="str">
        <f>VLOOKUP(U442,'[1]Account code lookup'!A:B,2,0)</f>
        <v>Consultants Fees</v>
      </c>
      <c r="Z442" s="10" t="str">
        <f>"Bicester Regeneration Projects"</f>
        <v>Bicester Regeneration Projects</v>
      </c>
      <c r="AA442" s="10" t="str">
        <f>"Commercial Development"</f>
        <v>Commercial Development</v>
      </c>
      <c r="AB442" s="10" t="str">
        <f>"2cdb"</f>
        <v>2cdb</v>
      </c>
      <c r="AD442" s="10" t="str">
        <f>"cdb01"</f>
        <v>cdb01</v>
      </c>
      <c r="AE442" s="10" t="str">
        <f>"Finance &amp; Procurement / Head of Finance &amp; Procurement"</f>
        <v>Finance &amp; Procurement / Head of Finance &amp; Procurement</v>
      </c>
      <c r="AG442" s="10" t="str">
        <f>"29224/1765"</f>
        <v>29224/1765</v>
      </c>
      <c r="AI442" s="10" t="str">
        <f>"17tpp"</f>
        <v>17tpp</v>
      </c>
      <c r="AJ442" s="15" t="str">
        <f>"Apprenticeship Training Agency - formation and approval work"</f>
        <v>Apprenticeship Training Agency - formation and approval work</v>
      </c>
      <c r="AK442" s="10" t="str">
        <f t="shared" si="284"/>
        <v>Revenue</v>
      </c>
      <c r="AL442" s="10" t="str">
        <f>""</f>
        <v/>
      </c>
      <c r="AM442" s="10" t="str">
        <f>""</f>
        <v/>
      </c>
      <c r="AN442" s="10" t="str">
        <f>""</f>
        <v/>
      </c>
      <c r="AO442" s="10" t="str">
        <f>""</f>
        <v/>
      </c>
    </row>
    <row r="443" spans="1:41" s="10" customFormat="1" ht="409.6">
      <c r="A443" s="9"/>
      <c r="B443" s="9"/>
      <c r="C443" s="9"/>
      <c r="D443" s="10" t="str">
        <f>"31827"</f>
        <v>31827</v>
      </c>
      <c r="E443" s="11" t="str">
        <f>""</f>
        <v/>
      </c>
      <c r="F443" s="11" t="str">
        <f t="shared" si="264"/>
        <v>372418</v>
      </c>
      <c r="G443" s="11" t="str">
        <f t="shared" si="265"/>
        <v>2017toJAN</v>
      </c>
      <c r="H443" s="11" t="str">
        <f t="shared" si="266"/>
        <v>CRSP06B</v>
      </c>
      <c r="I443" s="11" t="str">
        <f t="shared" si="267"/>
        <v>34</v>
      </c>
      <c r="J443" s="11" t="str">
        <f t="shared" si="268"/>
        <v>Creditor</v>
      </c>
      <c r="K443" s="11" t="str">
        <f>"CS002905"</f>
        <v>CS002905</v>
      </c>
      <c r="L443" s="10" t="str">
        <f>"Media Friendly Ltd"</f>
        <v>Media Friendly Ltd</v>
      </c>
      <c r="M443" s="12" t="str">
        <f>"19/01/2017 00:00:00"</f>
        <v>19/01/2017 00:00:00</v>
      </c>
      <c r="N443" s="12">
        <v>42754</v>
      </c>
      <c r="O443" s="10" t="str">
        <f>"C007830"</f>
        <v>C007830</v>
      </c>
      <c r="P443" s="13">
        <v>590</v>
      </c>
      <c r="Q443" s="11" t="str">
        <f>"590.0000"</f>
        <v>590.0000</v>
      </c>
      <c r="R443" s="10" t="str">
        <f>"059253"</f>
        <v>059253</v>
      </c>
      <c r="S443" s="14" t="str">
        <f>"708.0000"</f>
        <v>708.0000</v>
      </c>
      <c r="T443" s="10">
        <v>22110</v>
      </c>
      <c r="U443" s="10">
        <v>1162</v>
      </c>
      <c r="V443" s="10" t="str">
        <f>"Indirect employee expenses"</f>
        <v>Indirect employee expenses</v>
      </c>
      <c r="W443" s="10" t="str">
        <f>"Employees"</f>
        <v>Employees</v>
      </c>
      <c r="X443" s="10" t="str">
        <f>VLOOKUP(U443,'[1]Account code lookup'!A:B,2,0)</f>
        <v>Training</v>
      </c>
      <c r="Z443" s="10" t="str">
        <f>"Strategy and Commissioning"</f>
        <v>Strategy and Commissioning</v>
      </c>
      <c r="AA443" s="10" t="str">
        <f>"Strategy and Commissioning"</f>
        <v>Strategy and Commissioning</v>
      </c>
      <c r="AB443" s="10" t="str">
        <f>"4sac"</f>
        <v>4sac</v>
      </c>
      <c r="AD443" s="10" t="str">
        <f>"sac08"</f>
        <v>sac08</v>
      </c>
      <c r="AE443" s="10" t="str">
        <f>"Chief Executives / Chief Executives"</f>
        <v>Chief Executives / Chief Executives</v>
      </c>
      <c r="AG443" s="10" t="str">
        <f>"22110/1162"</f>
        <v>22110/1162</v>
      </c>
      <c r="AI443" s="10" t="str">
        <f>"11emps"</f>
        <v>11emps</v>
      </c>
      <c r="AJ443" s="15" t="str">
        <f>"Media and Presentation Skills training_x000D_
Scott Barnes_x000D_
26 October 2016"</f>
        <v>Media and Presentation Skills training_x000D_
Scott Barnes_x000D_
26 October 2016</v>
      </c>
      <c r="AK443" s="10" t="str">
        <f t="shared" si="284"/>
        <v>Revenue</v>
      </c>
      <c r="AL443" s="10" t="str">
        <f>""</f>
        <v/>
      </c>
      <c r="AM443" s="10" t="str">
        <f>""</f>
        <v/>
      </c>
      <c r="AN443" s="10" t="str">
        <f>""</f>
        <v/>
      </c>
      <c r="AO443" s="10" t="str">
        <f>""</f>
        <v/>
      </c>
    </row>
    <row r="444" spans="1:41" s="10" customFormat="1" ht="409.6">
      <c r="A444" s="9"/>
      <c r="B444" s="9"/>
      <c r="C444" s="9"/>
      <c r="D444" s="10" t="str">
        <f>"31828"</f>
        <v>31828</v>
      </c>
      <c r="E444" s="11" t="str">
        <f>""</f>
        <v/>
      </c>
      <c r="F444" s="11" t="str">
        <f t="shared" si="264"/>
        <v>372418</v>
      </c>
      <c r="G444" s="11" t="str">
        <f t="shared" si="265"/>
        <v>2017toJAN</v>
      </c>
      <c r="H444" s="11" t="str">
        <f t="shared" si="266"/>
        <v>CRSP06B</v>
      </c>
      <c r="I444" s="11" t="str">
        <f t="shared" si="267"/>
        <v>34</v>
      </c>
      <c r="J444" s="11" t="str">
        <f t="shared" si="268"/>
        <v>Creditor</v>
      </c>
      <c r="K444" s="11" t="str">
        <f>"CS002609"</f>
        <v>CS002609</v>
      </c>
      <c r="L444" s="10" t="str">
        <f>"Michael Disley"</f>
        <v>Michael Disley</v>
      </c>
      <c r="M444" s="12" t="str">
        <f>"25/01/2017 00:00:00"</f>
        <v>25/01/2017 00:00:00</v>
      </c>
      <c r="N444" s="12">
        <v>42760</v>
      </c>
      <c r="O444" s="10" t="str">
        <f>"C008101"</f>
        <v>C008101</v>
      </c>
      <c r="P444" s="13">
        <v>8000</v>
      </c>
      <c r="Q444" s="11" t="str">
        <f>"8000.0000"</f>
        <v>8000.0000</v>
      </c>
      <c r="R444" s="10" t="str">
        <f>"C0004570"</f>
        <v>C0004570</v>
      </c>
      <c r="S444" s="14" t="str">
        <f>"9600.0000"</f>
        <v>9600.0000</v>
      </c>
      <c r="T444" s="10">
        <v>24010</v>
      </c>
      <c r="U444" s="10">
        <v>1765</v>
      </c>
      <c r="V444" s="10" t="str">
        <f>"Professional Fees"</f>
        <v>Professional Fees</v>
      </c>
      <c r="W444" s="10" t="str">
        <f>"Third Party Payments"</f>
        <v>Third Party Payments</v>
      </c>
      <c r="X444" s="10" t="str">
        <f>VLOOKUP(U444,'[1]Account code lookup'!A:B,2,0)</f>
        <v>Consultants Fees</v>
      </c>
      <c r="Z444" s="10" t="str">
        <f>"Community Services"</f>
        <v>Community Services</v>
      </c>
      <c r="AA444" s="10" t="str">
        <f>"Operations and Delivery"</f>
        <v>Operations and Delivery</v>
      </c>
      <c r="AB444" s="10" t="str">
        <f>"5oad"</f>
        <v>5oad</v>
      </c>
      <c r="AD444" s="10" t="str">
        <f>"oad01"</f>
        <v>oad01</v>
      </c>
      <c r="AE444" s="10" t="str">
        <f t="shared" ref="AE444:AE453" si="285">"Finance &amp; Procurement / Head of Finance &amp; Procurement"</f>
        <v>Finance &amp; Procurement / Head of Finance &amp; Procurement</v>
      </c>
      <c r="AG444" s="10" t="str">
        <f>"24010/1765"</f>
        <v>24010/1765</v>
      </c>
      <c r="AI444" s="10" t="str">
        <f>"17tpp"</f>
        <v>17tpp</v>
      </c>
      <c r="AJ444" s="15" t="str">
        <f>"Gateway Public Art Commission Banbury_x000D_
Payment 3"</f>
        <v>Gateway Public Art Commission Banbury_x000D_
Payment 3</v>
      </c>
      <c r="AK444" s="10" t="str">
        <f t="shared" si="284"/>
        <v>Revenue</v>
      </c>
      <c r="AL444" s="10" t="str">
        <f>""</f>
        <v/>
      </c>
      <c r="AM444" s="10" t="str">
        <f>""</f>
        <v/>
      </c>
      <c r="AN444" s="10" t="str">
        <f>""</f>
        <v/>
      </c>
      <c r="AO444" s="10" t="str">
        <f>""</f>
        <v/>
      </c>
    </row>
    <row r="445" spans="1:41" s="10" customFormat="1" ht="409.6">
      <c r="A445" s="9"/>
      <c r="B445" s="9"/>
      <c r="C445" s="9"/>
      <c r="D445" s="10" t="str">
        <f>"31829"</f>
        <v>31829</v>
      </c>
      <c r="E445" s="11" t="str">
        <f>""</f>
        <v/>
      </c>
      <c r="F445" s="11" t="str">
        <f t="shared" si="264"/>
        <v>372418</v>
      </c>
      <c r="G445" s="11" t="str">
        <f t="shared" si="265"/>
        <v>2017toJAN</v>
      </c>
      <c r="H445" s="11" t="str">
        <f t="shared" si="266"/>
        <v>CRSP06B</v>
      </c>
      <c r="I445" s="11" t="str">
        <f t="shared" si="267"/>
        <v>34</v>
      </c>
      <c r="J445" s="11" t="str">
        <f t="shared" si="268"/>
        <v>Creditor</v>
      </c>
      <c r="K445" s="11" t="str">
        <f t="shared" ref="K445:K453" si="286">"CS000481"</f>
        <v>CS000481</v>
      </c>
      <c r="L445" s="10" t="str">
        <f t="shared" ref="L445:L453" si="287">"Michael Page International"</f>
        <v>Michael Page International</v>
      </c>
      <c r="M445" s="12" t="str">
        <f>"11/01/2017 00:00:00"</f>
        <v>11/01/2017 00:00:00</v>
      </c>
      <c r="N445" s="12">
        <v>42746</v>
      </c>
      <c r="O445" s="10" t="str">
        <f>"C007840"</f>
        <v>C007840</v>
      </c>
      <c r="P445" s="13">
        <v>2975</v>
      </c>
      <c r="Q445" s="11" t="str">
        <f>"2975.0000"</f>
        <v>2975.0000</v>
      </c>
      <c r="R445" s="10" t="str">
        <f>"C0004347"</f>
        <v>C0004347</v>
      </c>
      <c r="S445" s="14" t="str">
        <f>"3570.0000"</f>
        <v>3570.0000</v>
      </c>
      <c r="T445" s="10">
        <v>21747</v>
      </c>
      <c r="U445" s="10">
        <v>1136</v>
      </c>
      <c r="V445" s="10" t="str">
        <f t="shared" ref="V445:V453" si="288">"Direct employee exps and bens"</f>
        <v>Direct employee exps and bens</v>
      </c>
      <c r="W445" s="10" t="str">
        <f t="shared" ref="W445:W453" si="289">"Employees"</f>
        <v>Employees</v>
      </c>
      <c r="X445" s="10" t="str">
        <f>VLOOKUP(U445,'[1]Account code lookup'!A:B,2,0)</f>
        <v>Agency Staff</v>
      </c>
      <c r="Z445" s="10" t="str">
        <f t="shared" ref="Z445:Z453" si="290">"Finance and Procurement"</f>
        <v>Finance and Procurement</v>
      </c>
      <c r="AA445" s="10" t="str">
        <f t="shared" ref="AA445:AA453" si="291">"Chief Finance Officer"</f>
        <v>Chief Finance Officer</v>
      </c>
      <c r="AB445" s="10" t="str">
        <f t="shared" ref="AB445:AB453" si="292">"3cfo"</f>
        <v>3cfo</v>
      </c>
      <c r="AD445" s="10" t="str">
        <f t="shared" ref="AD445:AD453" si="293">"cfo02"</f>
        <v>cfo02</v>
      </c>
      <c r="AE445" s="10" t="str">
        <f t="shared" si="285"/>
        <v>Finance &amp; Procurement / Head of Finance &amp; Procurement</v>
      </c>
      <c r="AG445" s="10" t="str">
        <f t="shared" ref="AG445:AG453" si="294">"21747/1136"</f>
        <v>21747/1136</v>
      </c>
      <c r="AI445" s="10" t="str">
        <f t="shared" ref="AI445:AI453" si="295">"11emps"</f>
        <v>11emps</v>
      </c>
      <c r="AJ445" s="15" t="str">
        <f>"sanjay sharma at 4 days for jan"</f>
        <v>sanjay sharma at 4 days for jan</v>
      </c>
      <c r="AK445" s="10" t="str">
        <f t="shared" si="284"/>
        <v>Revenue</v>
      </c>
      <c r="AL445" s="10" t="str">
        <f>""</f>
        <v/>
      </c>
      <c r="AM445" s="10" t="str">
        <f>""</f>
        <v/>
      </c>
      <c r="AN445" s="10" t="str">
        <f>""</f>
        <v/>
      </c>
      <c r="AO445" s="10" t="str">
        <f>""</f>
        <v/>
      </c>
    </row>
    <row r="446" spans="1:41" s="10" customFormat="1" ht="409.6">
      <c r="A446" s="9"/>
      <c r="B446" s="9"/>
      <c r="C446" s="9"/>
      <c r="D446" s="10" t="str">
        <f>"31830"</f>
        <v>31830</v>
      </c>
      <c r="E446" s="11" t="str">
        <f>""</f>
        <v/>
      </c>
      <c r="F446" s="11" t="str">
        <f t="shared" si="264"/>
        <v>372418</v>
      </c>
      <c r="G446" s="11" t="str">
        <f t="shared" si="265"/>
        <v>2017toJAN</v>
      </c>
      <c r="H446" s="11" t="str">
        <f t="shared" si="266"/>
        <v>CRSP06B</v>
      </c>
      <c r="I446" s="11" t="str">
        <f t="shared" si="267"/>
        <v>34</v>
      </c>
      <c r="J446" s="11" t="str">
        <f t="shared" si="268"/>
        <v>Creditor</v>
      </c>
      <c r="K446" s="11" t="str">
        <f t="shared" si="286"/>
        <v>CS000481</v>
      </c>
      <c r="L446" s="10" t="str">
        <f t="shared" si="287"/>
        <v>Michael Page International</v>
      </c>
      <c r="M446" s="12" t="str">
        <f t="shared" ref="M446:M452" si="296">"18/01/2017 00:00:00"</f>
        <v>18/01/2017 00:00:00</v>
      </c>
      <c r="N446" s="12">
        <v>42753</v>
      </c>
      <c r="O446" s="10" t="str">
        <f t="shared" ref="O446:O451" si="297">"C007922"</f>
        <v>C007922</v>
      </c>
      <c r="P446" s="13">
        <v>406.25</v>
      </c>
      <c r="Q446" s="11" t="str">
        <f>"406.2500"</f>
        <v>406.2500</v>
      </c>
      <c r="R446" s="10" t="str">
        <f t="shared" ref="R446:R452" si="298">"C0004461"</f>
        <v>C0004461</v>
      </c>
      <c r="S446" s="14" t="str">
        <f t="shared" ref="S446:S452" si="299">"6855.0000"</f>
        <v>6855.0000</v>
      </c>
      <c r="T446" s="10">
        <v>21747</v>
      </c>
      <c r="U446" s="10">
        <v>1136</v>
      </c>
      <c r="V446" s="10" t="str">
        <f t="shared" si="288"/>
        <v>Direct employee exps and bens</v>
      </c>
      <c r="W446" s="10" t="str">
        <f t="shared" si="289"/>
        <v>Employees</v>
      </c>
      <c r="X446" s="10" t="str">
        <f>VLOOKUP(U446,'[1]Account code lookup'!A:B,2,0)</f>
        <v>Agency Staff</v>
      </c>
      <c r="Z446" s="10" t="str">
        <f t="shared" si="290"/>
        <v>Finance and Procurement</v>
      </c>
      <c r="AA446" s="10" t="str">
        <f t="shared" si="291"/>
        <v>Chief Finance Officer</v>
      </c>
      <c r="AB446" s="10" t="str">
        <f t="shared" si="292"/>
        <v>3cfo</v>
      </c>
      <c r="AD446" s="10" t="str">
        <f t="shared" si="293"/>
        <v>cfo02</v>
      </c>
      <c r="AE446" s="10" t="str">
        <f t="shared" si="285"/>
        <v>Finance &amp; Procurement / Head of Finance &amp; Procurement</v>
      </c>
      <c r="AG446" s="10" t="str">
        <f t="shared" si="294"/>
        <v>21747/1136</v>
      </c>
      <c r="AI446" s="10" t="str">
        <f t="shared" si="295"/>
        <v>11emps</v>
      </c>
      <c r="AJ446" s="15" t="str">
        <f>"P/E 01/01/2017 SUE PRICE (2239161)"</f>
        <v>P/E 01/01/2017 SUE PRICE (2239161)</v>
      </c>
      <c r="AK446" s="10" t="str">
        <f t="shared" si="284"/>
        <v>Revenue</v>
      </c>
      <c r="AL446" s="10" t="str">
        <f>""</f>
        <v/>
      </c>
      <c r="AM446" s="10" t="str">
        <f>""</f>
        <v/>
      </c>
      <c r="AN446" s="10" t="str">
        <f>""</f>
        <v/>
      </c>
      <c r="AO446" s="10" t="str">
        <f>""</f>
        <v/>
      </c>
    </row>
    <row r="447" spans="1:41" s="10" customFormat="1" ht="409.6">
      <c r="A447" s="9"/>
      <c r="B447" s="9"/>
      <c r="C447" s="9"/>
      <c r="D447" s="10" t="str">
        <f>"31831"</f>
        <v>31831</v>
      </c>
      <c r="E447" s="11" t="str">
        <f>""</f>
        <v/>
      </c>
      <c r="F447" s="11" t="str">
        <f t="shared" si="264"/>
        <v>372418</v>
      </c>
      <c r="G447" s="11" t="str">
        <f t="shared" si="265"/>
        <v>2017toJAN</v>
      </c>
      <c r="H447" s="11" t="str">
        <f t="shared" si="266"/>
        <v>CRSP06B</v>
      </c>
      <c r="I447" s="11" t="str">
        <f t="shared" si="267"/>
        <v>34</v>
      </c>
      <c r="J447" s="11" t="str">
        <f t="shared" si="268"/>
        <v>Creditor</v>
      </c>
      <c r="K447" s="11" t="str">
        <f t="shared" si="286"/>
        <v>CS000481</v>
      </c>
      <c r="L447" s="10" t="str">
        <f t="shared" si="287"/>
        <v>Michael Page International</v>
      </c>
      <c r="M447" s="12" t="str">
        <f t="shared" si="296"/>
        <v>18/01/2017 00:00:00</v>
      </c>
      <c r="N447" s="12">
        <v>42753</v>
      </c>
      <c r="O447" s="10" t="str">
        <f t="shared" si="297"/>
        <v>C007922</v>
      </c>
      <c r="P447" s="13">
        <v>400</v>
      </c>
      <c r="Q447" s="11" t="str">
        <f>"400.0000"</f>
        <v>400.0000</v>
      </c>
      <c r="R447" s="10" t="str">
        <f t="shared" si="298"/>
        <v>C0004461</v>
      </c>
      <c r="S447" s="14" t="str">
        <f t="shared" si="299"/>
        <v>6855.0000</v>
      </c>
      <c r="T447" s="10">
        <v>21747</v>
      </c>
      <c r="U447" s="10">
        <v>1136</v>
      </c>
      <c r="V447" s="10" t="str">
        <f t="shared" si="288"/>
        <v>Direct employee exps and bens</v>
      </c>
      <c r="W447" s="10" t="str">
        <f t="shared" si="289"/>
        <v>Employees</v>
      </c>
      <c r="X447" s="10" t="str">
        <f>VLOOKUP(U447,'[1]Account code lookup'!A:B,2,0)</f>
        <v>Agency Staff</v>
      </c>
      <c r="Z447" s="10" t="str">
        <f t="shared" si="290"/>
        <v>Finance and Procurement</v>
      </c>
      <c r="AA447" s="10" t="str">
        <f t="shared" si="291"/>
        <v>Chief Finance Officer</v>
      </c>
      <c r="AB447" s="10" t="str">
        <f t="shared" si="292"/>
        <v>3cfo</v>
      </c>
      <c r="AD447" s="10" t="str">
        <f t="shared" si="293"/>
        <v>cfo02</v>
      </c>
      <c r="AE447" s="10" t="str">
        <f t="shared" si="285"/>
        <v>Finance &amp; Procurement / Head of Finance &amp; Procurement</v>
      </c>
      <c r="AG447" s="10" t="str">
        <f t="shared" si="294"/>
        <v>21747/1136</v>
      </c>
      <c r="AI447" s="10" t="str">
        <f t="shared" si="295"/>
        <v>11emps</v>
      </c>
      <c r="AJ447" s="15" t="str">
        <f>"P/E 04/12/2016 SUE PRICE (2239161)"</f>
        <v>P/E 04/12/2016 SUE PRICE (2239161)</v>
      </c>
      <c r="AK447" s="10" t="str">
        <f t="shared" si="284"/>
        <v>Revenue</v>
      </c>
      <c r="AL447" s="10" t="str">
        <f>""</f>
        <v/>
      </c>
      <c r="AM447" s="10" t="str">
        <f>""</f>
        <v/>
      </c>
      <c r="AN447" s="10" t="str">
        <f>""</f>
        <v/>
      </c>
      <c r="AO447" s="10" t="str">
        <f>""</f>
        <v/>
      </c>
    </row>
    <row r="448" spans="1:41" s="10" customFormat="1" ht="409.6">
      <c r="A448" s="9"/>
      <c r="B448" s="9"/>
      <c r="C448" s="9"/>
      <c r="D448" s="10" t="str">
        <f>"31832"</f>
        <v>31832</v>
      </c>
      <c r="E448" s="11" t="str">
        <f>""</f>
        <v/>
      </c>
      <c r="F448" s="11" t="str">
        <f t="shared" si="264"/>
        <v>372418</v>
      </c>
      <c r="G448" s="11" t="str">
        <f t="shared" si="265"/>
        <v>2017toJAN</v>
      </c>
      <c r="H448" s="11" t="str">
        <f t="shared" si="266"/>
        <v>CRSP06B</v>
      </c>
      <c r="I448" s="11" t="str">
        <f t="shared" si="267"/>
        <v>34</v>
      </c>
      <c r="J448" s="11" t="str">
        <f t="shared" si="268"/>
        <v>Creditor</v>
      </c>
      <c r="K448" s="11" t="str">
        <f t="shared" si="286"/>
        <v>CS000481</v>
      </c>
      <c r="L448" s="10" t="str">
        <f t="shared" si="287"/>
        <v>Michael Page International</v>
      </c>
      <c r="M448" s="12" t="str">
        <f t="shared" si="296"/>
        <v>18/01/2017 00:00:00</v>
      </c>
      <c r="N448" s="12">
        <v>42753</v>
      </c>
      <c r="O448" s="10" t="str">
        <f t="shared" si="297"/>
        <v>C007922</v>
      </c>
      <c r="P448" s="13">
        <v>800</v>
      </c>
      <c r="Q448" s="11" t="str">
        <f>"800.0000"</f>
        <v>800.0000</v>
      </c>
      <c r="R448" s="10" t="str">
        <f t="shared" si="298"/>
        <v>C0004461</v>
      </c>
      <c r="S448" s="14" t="str">
        <f t="shared" si="299"/>
        <v>6855.0000</v>
      </c>
      <c r="T448" s="10">
        <v>21747</v>
      </c>
      <c r="U448" s="10">
        <v>1136</v>
      </c>
      <c r="V448" s="10" t="str">
        <f t="shared" si="288"/>
        <v>Direct employee exps and bens</v>
      </c>
      <c r="W448" s="10" t="str">
        <f t="shared" si="289"/>
        <v>Employees</v>
      </c>
      <c r="X448" s="10" t="str">
        <f>VLOOKUP(U448,'[1]Account code lookup'!A:B,2,0)</f>
        <v>Agency Staff</v>
      </c>
      <c r="Z448" s="10" t="str">
        <f t="shared" si="290"/>
        <v>Finance and Procurement</v>
      </c>
      <c r="AA448" s="10" t="str">
        <f t="shared" si="291"/>
        <v>Chief Finance Officer</v>
      </c>
      <c r="AB448" s="10" t="str">
        <f t="shared" si="292"/>
        <v>3cfo</v>
      </c>
      <c r="AD448" s="10" t="str">
        <f t="shared" si="293"/>
        <v>cfo02</v>
      </c>
      <c r="AE448" s="10" t="str">
        <f t="shared" si="285"/>
        <v>Finance &amp; Procurement / Head of Finance &amp; Procurement</v>
      </c>
      <c r="AG448" s="10" t="str">
        <f t="shared" si="294"/>
        <v>21747/1136</v>
      </c>
      <c r="AI448" s="10" t="str">
        <f t="shared" si="295"/>
        <v>11emps</v>
      </c>
      <c r="AJ448" s="15" t="str">
        <f>"P/E 08/01/2017 SUE PRICE (2239161)"</f>
        <v>P/E 08/01/2017 SUE PRICE (2239161)</v>
      </c>
      <c r="AK448" s="10" t="str">
        <f t="shared" si="284"/>
        <v>Revenue</v>
      </c>
      <c r="AL448" s="10" t="str">
        <f>""</f>
        <v/>
      </c>
      <c r="AM448" s="10" t="str">
        <f>""</f>
        <v/>
      </c>
      <c r="AN448" s="10" t="str">
        <f>""</f>
        <v/>
      </c>
      <c r="AO448" s="10" t="str">
        <f>""</f>
        <v/>
      </c>
    </row>
    <row r="449" spans="1:41" s="10" customFormat="1" ht="409.6">
      <c r="A449" s="9"/>
      <c r="B449" s="9"/>
      <c r="C449" s="9"/>
      <c r="D449" s="10" t="str">
        <f>"31833"</f>
        <v>31833</v>
      </c>
      <c r="E449" s="11" t="str">
        <f>""</f>
        <v/>
      </c>
      <c r="F449" s="11" t="str">
        <f t="shared" si="264"/>
        <v>372418</v>
      </c>
      <c r="G449" s="11" t="str">
        <f t="shared" si="265"/>
        <v>2017toJAN</v>
      </c>
      <c r="H449" s="11" t="str">
        <f t="shared" si="266"/>
        <v>CRSP06B</v>
      </c>
      <c r="I449" s="11" t="str">
        <f t="shared" si="267"/>
        <v>34</v>
      </c>
      <c r="J449" s="11" t="str">
        <f t="shared" si="268"/>
        <v>Creditor</v>
      </c>
      <c r="K449" s="11" t="str">
        <f t="shared" si="286"/>
        <v>CS000481</v>
      </c>
      <c r="L449" s="10" t="str">
        <f t="shared" si="287"/>
        <v>Michael Page International</v>
      </c>
      <c r="M449" s="12" t="str">
        <f t="shared" si="296"/>
        <v>18/01/2017 00:00:00</v>
      </c>
      <c r="N449" s="12">
        <v>42753</v>
      </c>
      <c r="O449" s="10" t="str">
        <f t="shared" si="297"/>
        <v>C007922</v>
      </c>
      <c r="P449" s="13">
        <v>743.75</v>
      </c>
      <c r="Q449" s="11" t="str">
        <f>"743.7500"</f>
        <v>743.7500</v>
      </c>
      <c r="R449" s="10" t="str">
        <f t="shared" si="298"/>
        <v>C0004461</v>
      </c>
      <c r="S449" s="14" t="str">
        <f t="shared" si="299"/>
        <v>6855.0000</v>
      </c>
      <c r="T449" s="10">
        <v>21747</v>
      </c>
      <c r="U449" s="10">
        <v>1136</v>
      </c>
      <c r="V449" s="10" t="str">
        <f t="shared" si="288"/>
        <v>Direct employee exps and bens</v>
      </c>
      <c r="W449" s="10" t="str">
        <f t="shared" si="289"/>
        <v>Employees</v>
      </c>
      <c r="X449" s="10" t="str">
        <f>VLOOKUP(U449,'[1]Account code lookup'!A:B,2,0)</f>
        <v>Agency Staff</v>
      </c>
      <c r="Z449" s="10" t="str">
        <f t="shared" si="290"/>
        <v>Finance and Procurement</v>
      </c>
      <c r="AA449" s="10" t="str">
        <f t="shared" si="291"/>
        <v>Chief Finance Officer</v>
      </c>
      <c r="AB449" s="10" t="str">
        <f t="shared" si="292"/>
        <v>3cfo</v>
      </c>
      <c r="AD449" s="10" t="str">
        <f t="shared" si="293"/>
        <v>cfo02</v>
      </c>
      <c r="AE449" s="10" t="str">
        <f t="shared" si="285"/>
        <v>Finance &amp; Procurement / Head of Finance &amp; Procurement</v>
      </c>
      <c r="AG449" s="10" t="str">
        <f t="shared" si="294"/>
        <v>21747/1136</v>
      </c>
      <c r="AI449" s="10" t="str">
        <f t="shared" si="295"/>
        <v>11emps</v>
      </c>
      <c r="AJ449" s="15" t="str">
        <f>"P/E 11/12/2016 SUE PRICE (2239161)"</f>
        <v>P/E 11/12/2016 SUE PRICE (2239161)</v>
      </c>
      <c r="AK449" s="10" t="str">
        <f t="shared" si="284"/>
        <v>Revenue</v>
      </c>
      <c r="AL449" s="10" t="str">
        <f>""</f>
        <v/>
      </c>
      <c r="AM449" s="10" t="str">
        <f>""</f>
        <v/>
      </c>
      <c r="AN449" s="10" t="str">
        <f>""</f>
        <v/>
      </c>
      <c r="AO449" s="10" t="str">
        <f>""</f>
        <v/>
      </c>
    </row>
    <row r="450" spans="1:41" s="10" customFormat="1" ht="409.6">
      <c r="A450" s="9"/>
      <c r="B450" s="9"/>
      <c r="C450" s="9"/>
      <c r="D450" s="10" t="str">
        <f>"31834"</f>
        <v>31834</v>
      </c>
      <c r="E450" s="11" t="str">
        <f>""</f>
        <v/>
      </c>
      <c r="F450" s="11" t="str">
        <f t="shared" si="264"/>
        <v>372418</v>
      </c>
      <c r="G450" s="11" t="str">
        <f t="shared" si="265"/>
        <v>2017toJAN</v>
      </c>
      <c r="H450" s="11" t="str">
        <f t="shared" si="266"/>
        <v>CRSP06B</v>
      </c>
      <c r="I450" s="11" t="str">
        <f t="shared" si="267"/>
        <v>34</v>
      </c>
      <c r="J450" s="11" t="str">
        <f t="shared" si="268"/>
        <v>Creditor</v>
      </c>
      <c r="K450" s="11" t="str">
        <f t="shared" si="286"/>
        <v>CS000481</v>
      </c>
      <c r="L450" s="10" t="str">
        <f t="shared" si="287"/>
        <v>Michael Page International</v>
      </c>
      <c r="M450" s="12" t="str">
        <f t="shared" si="296"/>
        <v>18/01/2017 00:00:00</v>
      </c>
      <c r="N450" s="12">
        <v>42753</v>
      </c>
      <c r="O450" s="10" t="str">
        <f t="shared" si="297"/>
        <v>C007922</v>
      </c>
      <c r="P450" s="13">
        <v>956.25</v>
      </c>
      <c r="Q450" s="11" t="str">
        <f>"956.2500"</f>
        <v>956.2500</v>
      </c>
      <c r="R450" s="10" t="str">
        <f t="shared" si="298"/>
        <v>C0004461</v>
      </c>
      <c r="S450" s="14" t="str">
        <f t="shared" si="299"/>
        <v>6855.0000</v>
      </c>
      <c r="T450" s="10">
        <v>21747</v>
      </c>
      <c r="U450" s="10">
        <v>1136</v>
      </c>
      <c r="V450" s="10" t="str">
        <f t="shared" si="288"/>
        <v>Direct employee exps and bens</v>
      </c>
      <c r="W450" s="10" t="str">
        <f t="shared" si="289"/>
        <v>Employees</v>
      </c>
      <c r="X450" s="10" t="str">
        <f>VLOOKUP(U450,'[1]Account code lookup'!A:B,2,0)</f>
        <v>Agency Staff</v>
      </c>
      <c r="Z450" s="10" t="str">
        <f t="shared" si="290"/>
        <v>Finance and Procurement</v>
      </c>
      <c r="AA450" s="10" t="str">
        <f t="shared" si="291"/>
        <v>Chief Finance Officer</v>
      </c>
      <c r="AB450" s="10" t="str">
        <f t="shared" si="292"/>
        <v>3cfo</v>
      </c>
      <c r="AD450" s="10" t="str">
        <f t="shared" si="293"/>
        <v>cfo02</v>
      </c>
      <c r="AE450" s="10" t="str">
        <f t="shared" si="285"/>
        <v>Finance &amp; Procurement / Head of Finance &amp; Procurement</v>
      </c>
      <c r="AG450" s="10" t="str">
        <f t="shared" si="294"/>
        <v>21747/1136</v>
      </c>
      <c r="AI450" s="10" t="str">
        <f t="shared" si="295"/>
        <v>11emps</v>
      </c>
      <c r="AJ450" s="15" t="str">
        <f>"P/E 18/12/2016 SUE PRICE (2239161)"</f>
        <v>P/E 18/12/2016 SUE PRICE (2239161)</v>
      </c>
      <c r="AK450" s="10" t="str">
        <f t="shared" si="284"/>
        <v>Revenue</v>
      </c>
      <c r="AL450" s="10" t="str">
        <f>""</f>
        <v/>
      </c>
      <c r="AM450" s="10" t="str">
        <f>""</f>
        <v/>
      </c>
      <c r="AN450" s="10" t="str">
        <f>""</f>
        <v/>
      </c>
      <c r="AO450" s="10" t="str">
        <f>""</f>
        <v/>
      </c>
    </row>
    <row r="451" spans="1:41" s="10" customFormat="1" ht="409.6">
      <c r="A451" s="9"/>
      <c r="B451" s="9"/>
      <c r="C451" s="9"/>
      <c r="D451" s="10" t="str">
        <f>"31835"</f>
        <v>31835</v>
      </c>
      <c r="E451" s="11" t="str">
        <f>""</f>
        <v/>
      </c>
      <c r="F451" s="11" t="str">
        <f t="shared" si="264"/>
        <v>372418</v>
      </c>
      <c r="G451" s="11" t="str">
        <f t="shared" si="265"/>
        <v>2017toJAN</v>
      </c>
      <c r="H451" s="11" t="str">
        <f t="shared" si="266"/>
        <v>CRSP06B</v>
      </c>
      <c r="I451" s="11" t="str">
        <f t="shared" si="267"/>
        <v>34</v>
      </c>
      <c r="J451" s="11" t="str">
        <f t="shared" si="268"/>
        <v>Creditor</v>
      </c>
      <c r="K451" s="11" t="str">
        <f t="shared" si="286"/>
        <v>CS000481</v>
      </c>
      <c r="L451" s="10" t="str">
        <f t="shared" si="287"/>
        <v>Michael Page International</v>
      </c>
      <c r="M451" s="12" t="str">
        <f t="shared" si="296"/>
        <v>18/01/2017 00:00:00</v>
      </c>
      <c r="N451" s="12">
        <v>42753</v>
      </c>
      <c r="O451" s="10" t="str">
        <f t="shared" si="297"/>
        <v>C007922</v>
      </c>
      <c r="P451" s="13">
        <v>706.25</v>
      </c>
      <c r="Q451" s="11" t="str">
        <f>"706.2500"</f>
        <v>706.2500</v>
      </c>
      <c r="R451" s="10" t="str">
        <f t="shared" si="298"/>
        <v>C0004461</v>
      </c>
      <c r="S451" s="14" t="str">
        <f t="shared" si="299"/>
        <v>6855.0000</v>
      </c>
      <c r="T451" s="10">
        <v>21747</v>
      </c>
      <c r="U451" s="10">
        <v>1136</v>
      </c>
      <c r="V451" s="10" t="str">
        <f t="shared" si="288"/>
        <v>Direct employee exps and bens</v>
      </c>
      <c r="W451" s="10" t="str">
        <f t="shared" si="289"/>
        <v>Employees</v>
      </c>
      <c r="X451" s="10" t="str">
        <f>VLOOKUP(U451,'[1]Account code lookup'!A:B,2,0)</f>
        <v>Agency Staff</v>
      </c>
      <c r="Z451" s="10" t="str">
        <f t="shared" si="290"/>
        <v>Finance and Procurement</v>
      </c>
      <c r="AA451" s="10" t="str">
        <f t="shared" si="291"/>
        <v>Chief Finance Officer</v>
      </c>
      <c r="AB451" s="10" t="str">
        <f t="shared" si="292"/>
        <v>3cfo</v>
      </c>
      <c r="AD451" s="10" t="str">
        <f t="shared" si="293"/>
        <v>cfo02</v>
      </c>
      <c r="AE451" s="10" t="str">
        <f t="shared" si="285"/>
        <v>Finance &amp; Procurement / Head of Finance &amp; Procurement</v>
      </c>
      <c r="AG451" s="10" t="str">
        <f t="shared" si="294"/>
        <v>21747/1136</v>
      </c>
      <c r="AI451" s="10" t="str">
        <f t="shared" si="295"/>
        <v>11emps</v>
      </c>
      <c r="AJ451" s="15" t="str">
        <f>"P/E 25/12/2016 SUE PRICE (2239161)"</f>
        <v>P/E 25/12/2016 SUE PRICE (2239161)</v>
      </c>
      <c r="AK451" s="10" t="str">
        <f t="shared" si="284"/>
        <v>Revenue</v>
      </c>
      <c r="AL451" s="10" t="str">
        <f>""</f>
        <v/>
      </c>
      <c r="AM451" s="10" t="str">
        <f>""</f>
        <v/>
      </c>
      <c r="AN451" s="10" t="str">
        <f>""</f>
        <v/>
      </c>
      <c r="AO451" s="10" t="str">
        <f>""</f>
        <v/>
      </c>
    </row>
    <row r="452" spans="1:41" s="10" customFormat="1" ht="409.6">
      <c r="A452" s="9"/>
      <c r="B452" s="9"/>
      <c r="C452" s="9"/>
      <c r="D452" s="10" t="str">
        <f>"31836"</f>
        <v>31836</v>
      </c>
      <c r="E452" s="11" t="str">
        <f>""</f>
        <v/>
      </c>
      <c r="F452" s="11" t="str">
        <f t="shared" si="264"/>
        <v>372418</v>
      </c>
      <c r="G452" s="11" t="str">
        <f t="shared" si="265"/>
        <v>2017toJAN</v>
      </c>
      <c r="H452" s="11" t="str">
        <f t="shared" si="266"/>
        <v>CRSP06B</v>
      </c>
      <c r="I452" s="11" t="str">
        <f t="shared" si="267"/>
        <v>34</v>
      </c>
      <c r="J452" s="11" t="str">
        <f t="shared" si="268"/>
        <v>Creditor</v>
      </c>
      <c r="K452" s="11" t="str">
        <f t="shared" si="286"/>
        <v>CS000481</v>
      </c>
      <c r="L452" s="10" t="str">
        <f t="shared" si="287"/>
        <v>Michael Page International</v>
      </c>
      <c r="M452" s="12" t="str">
        <f t="shared" si="296"/>
        <v>18/01/2017 00:00:00</v>
      </c>
      <c r="N452" s="12">
        <v>42753</v>
      </c>
      <c r="O452" s="10" t="str">
        <f>"C007860"</f>
        <v>C007860</v>
      </c>
      <c r="P452" s="13">
        <v>1700</v>
      </c>
      <c r="Q452" s="11" t="str">
        <f>"1700.0000"</f>
        <v>1700.0000</v>
      </c>
      <c r="R452" s="10" t="str">
        <f t="shared" si="298"/>
        <v>C0004461</v>
      </c>
      <c r="S452" s="14" t="str">
        <f t="shared" si="299"/>
        <v>6855.0000</v>
      </c>
      <c r="T452" s="10">
        <v>21747</v>
      </c>
      <c r="U452" s="10">
        <v>1136</v>
      </c>
      <c r="V452" s="10" t="str">
        <f t="shared" si="288"/>
        <v>Direct employee exps and bens</v>
      </c>
      <c r="W452" s="10" t="str">
        <f t="shared" si="289"/>
        <v>Employees</v>
      </c>
      <c r="X452" s="10" t="str">
        <f>VLOOKUP(U452,'[1]Account code lookup'!A:B,2,0)</f>
        <v>Agency Staff</v>
      </c>
      <c r="Z452" s="10" t="str">
        <f t="shared" si="290"/>
        <v>Finance and Procurement</v>
      </c>
      <c r="AA452" s="10" t="str">
        <f t="shared" si="291"/>
        <v>Chief Finance Officer</v>
      </c>
      <c r="AB452" s="10" t="str">
        <f t="shared" si="292"/>
        <v>3cfo</v>
      </c>
      <c r="AD452" s="10" t="str">
        <f t="shared" si="293"/>
        <v>cfo02</v>
      </c>
      <c r="AE452" s="10" t="str">
        <f t="shared" si="285"/>
        <v>Finance &amp; Procurement / Head of Finance &amp; Procurement</v>
      </c>
      <c r="AG452" s="10" t="str">
        <f t="shared" si="294"/>
        <v>21747/1136</v>
      </c>
      <c r="AI452" s="10" t="str">
        <f t="shared" si="295"/>
        <v>11emps</v>
      </c>
      <c r="AJ452" s="15" t="str">
        <f>"sanjay sharma at 4 days for jan"</f>
        <v>sanjay sharma at 4 days for jan</v>
      </c>
      <c r="AK452" s="10" t="str">
        <f t="shared" si="284"/>
        <v>Revenue</v>
      </c>
      <c r="AL452" s="10" t="str">
        <f>""</f>
        <v/>
      </c>
      <c r="AM452" s="10" t="str">
        <f>""</f>
        <v/>
      </c>
      <c r="AN452" s="10" t="str">
        <f>""</f>
        <v/>
      </c>
      <c r="AO452" s="10" t="str">
        <f>""</f>
        <v/>
      </c>
    </row>
    <row r="453" spans="1:41" s="10" customFormat="1" ht="409.6">
      <c r="A453" s="9"/>
      <c r="B453" s="9"/>
      <c r="C453" s="9"/>
      <c r="D453" s="10" t="str">
        <f>"31837"</f>
        <v>31837</v>
      </c>
      <c r="E453" s="11" t="str">
        <f>""</f>
        <v/>
      </c>
      <c r="F453" s="11" t="str">
        <f t="shared" si="264"/>
        <v>372418</v>
      </c>
      <c r="G453" s="11" t="str">
        <f t="shared" si="265"/>
        <v>2017toJAN</v>
      </c>
      <c r="H453" s="11" t="str">
        <f t="shared" si="266"/>
        <v>CRSP06B</v>
      </c>
      <c r="I453" s="11" t="str">
        <f t="shared" si="267"/>
        <v>34</v>
      </c>
      <c r="J453" s="11" t="str">
        <f t="shared" si="268"/>
        <v>Creditor</v>
      </c>
      <c r="K453" s="11" t="str">
        <f t="shared" si="286"/>
        <v>CS000481</v>
      </c>
      <c r="L453" s="10" t="str">
        <f t="shared" si="287"/>
        <v>Michael Page International</v>
      </c>
      <c r="M453" s="12" t="str">
        <f>"20/01/2017 00:00:00"</f>
        <v>20/01/2017 00:00:00</v>
      </c>
      <c r="N453" s="12">
        <v>42755</v>
      </c>
      <c r="O453" s="10" t="str">
        <f>"C007959"</f>
        <v>C007959</v>
      </c>
      <c r="P453" s="13">
        <v>2125</v>
      </c>
      <c r="Q453" s="11" t="str">
        <f>"2125.0000"</f>
        <v>2125.0000</v>
      </c>
      <c r="R453" s="10" t="str">
        <f>"C0004492"</f>
        <v>C0004492</v>
      </c>
      <c r="S453" s="14" t="str">
        <f>"2550.0000"</f>
        <v>2550.0000</v>
      </c>
      <c r="T453" s="10">
        <v>21747</v>
      </c>
      <c r="U453" s="10">
        <v>1136</v>
      </c>
      <c r="V453" s="10" t="str">
        <f t="shared" si="288"/>
        <v>Direct employee exps and bens</v>
      </c>
      <c r="W453" s="10" t="str">
        <f t="shared" si="289"/>
        <v>Employees</v>
      </c>
      <c r="X453" s="10" t="str">
        <f>VLOOKUP(U453,'[1]Account code lookup'!A:B,2,0)</f>
        <v>Agency Staff</v>
      </c>
      <c r="Z453" s="10" t="str">
        <f t="shared" si="290"/>
        <v>Finance and Procurement</v>
      </c>
      <c r="AA453" s="10" t="str">
        <f t="shared" si="291"/>
        <v>Chief Finance Officer</v>
      </c>
      <c r="AB453" s="10" t="str">
        <f t="shared" si="292"/>
        <v>3cfo</v>
      </c>
      <c r="AD453" s="10" t="str">
        <f t="shared" si="293"/>
        <v>cfo02</v>
      </c>
      <c r="AE453" s="10" t="str">
        <f t="shared" si="285"/>
        <v>Finance &amp; Procurement / Head of Finance &amp; Procurement</v>
      </c>
      <c r="AG453" s="10" t="str">
        <f t="shared" si="294"/>
        <v>21747/1136</v>
      </c>
      <c r="AI453" s="10" t="str">
        <f t="shared" si="295"/>
        <v>11emps</v>
      </c>
      <c r="AJ453" s="15" t="str">
        <f>"sanjay sharma at 4 days for jan"</f>
        <v>sanjay sharma at 4 days for jan</v>
      </c>
      <c r="AK453" s="10" t="str">
        <f t="shared" si="284"/>
        <v>Revenue</v>
      </c>
      <c r="AL453" s="10" t="str">
        <f>""</f>
        <v/>
      </c>
      <c r="AM453" s="10" t="str">
        <f>""</f>
        <v/>
      </c>
      <c r="AN453" s="10" t="str">
        <f>""</f>
        <v/>
      </c>
      <c r="AO453" s="10" t="str">
        <f>""</f>
        <v/>
      </c>
    </row>
    <row r="454" spans="1:41" s="10" customFormat="1" ht="409.6">
      <c r="A454" s="9"/>
      <c r="B454" s="9"/>
      <c r="C454" s="9"/>
      <c r="D454" s="10" t="str">
        <f>"31838"</f>
        <v>31838</v>
      </c>
      <c r="E454" s="11" t="str">
        <f>""</f>
        <v/>
      </c>
      <c r="F454" s="11" t="str">
        <f t="shared" si="264"/>
        <v>372418</v>
      </c>
      <c r="G454" s="11" t="str">
        <f t="shared" si="265"/>
        <v>2017toJAN</v>
      </c>
      <c r="H454" s="11" t="str">
        <f t="shared" si="266"/>
        <v>CRSP06B</v>
      </c>
      <c r="I454" s="11" t="str">
        <f t="shared" si="267"/>
        <v>34</v>
      </c>
      <c r="J454" s="11" t="str">
        <f t="shared" si="268"/>
        <v>Creditor</v>
      </c>
      <c r="K454" s="11" t="str">
        <f>"CS000489"</f>
        <v>CS000489</v>
      </c>
      <c r="L454" s="10" t="str">
        <f>"Midland Bio Energy Ltd"</f>
        <v>Midland Bio Energy Ltd</v>
      </c>
      <c r="M454" s="12" t="str">
        <f>"06/01/2017 00:00:00"</f>
        <v>06/01/2017 00:00:00</v>
      </c>
      <c r="N454" s="12">
        <v>42741</v>
      </c>
      <c r="O454" s="10" t="str">
        <f>"C007117"</f>
        <v>C007117</v>
      </c>
      <c r="P454" s="13">
        <v>2440.16</v>
      </c>
      <c r="Q454" s="11" t="str">
        <f>"2440.1600"</f>
        <v>2440.1600</v>
      </c>
      <c r="R454" s="10" t="str">
        <f>"C0004290"</f>
        <v>C0004290</v>
      </c>
      <c r="S454" s="14" t="str">
        <f>"2562.1700"</f>
        <v>2562.1700</v>
      </c>
      <c r="T454" s="10">
        <v>21717</v>
      </c>
      <c r="U454" s="10">
        <v>1220</v>
      </c>
      <c r="V454" s="10" t="str">
        <f>"Energy Costs"</f>
        <v>Energy Costs</v>
      </c>
      <c r="W454" s="10" t="str">
        <f>"Premises Related Expenditure"</f>
        <v>Premises Related Expenditure</v>
      </c>
      <c r="X454" s="10" t="str">
        <f>VLOOKUP(U454,'[1]Account code lookup'!A:B,2,0)</f>
        <v>Electricity</v>
      </c>
      <c r="Z454" s="10" t="str">
        <f>"Regeneration and Housing"</f>
        <v>Regeneration and Housing</v>
      </c>
      <c r="AA454" s="10" t="str">
        <f>"Commercial Development"</f>
        <v>Commercial Development</v>
      </c>
      <c r="AB454" s="10" t="str">
        <f>"2cdb"</f>
        <v>2cdb</v>
      </c>
      <c r="AD454" s="10" t="str">
        <f>"cdb02"</f>
        <v>cdb02</v>
      </c>
      <c r="AE454" s="10" t="str">
        <f>"Finance &amp; Procurement / Finance"</f>
        <v>Finance &amp; Procurement / Finance</v>
      </c>
      <c r="AG454" s="10" t="str">
        <f>"21717/1220"</f>
        <v>21717/1220</v>
      </c>
      <c r="AI454" s="10" t="str">
        <f>"12prem"</f>
        <v>12prem</v>
      </c>
      <c r="AJ454" s="15" t="str">
        <f>"BODICOTE HOUSESupply TOP UP pellets fro Bio mass boiler"</f>
        <v>BODICOTE HOUSESupply TOP UP pellets fro Bio mass boiler</v>
      </c>
      <c r="AK454" s="10" t="str">
        <f t="shared" si="284"/>
        <v>Revenue</v>
      </c>
      <c r="AL454" s="10" t="str">
        <f>""</f>
        <v/>
      </c>
      <c r="AM454" s="10" t="str">
        <f>""</f>
        <v/>
      </c>
      <c r="AN454" s="10" t="str">
        <f>""</f>
        <v/>
      </c>
      <c r="AO454" s="10" t="str">
        <f>""</f>
        <v/>
      </c>
    </row>
    <row r="455" spans="1:41" s="10" customFormat="1" ht="409.6">
      <c r="A455" s="9"/>
      <c r="B455" s="9"/>
      <c r="C455" s="9"/>
      <c r="D455" s="10" t="str">
        <f>"31839"</f>
        <v>31839</v>
      </c>
      <c r="E455" s="11" t="str">
        <f>""</f>
        <v/>
      </c>
      <c r="F455" s="11" t="str">
        <f t="shared" si="264"/>
        <v>372418</v>
      </c>
      <c r="G455" s="11" t="str">
        <f t="shared" si="265"/>
        <v>2017toJAN</v>
      </c>
      <c r="H455" s="11" t="str">
        <f t="shared" si="266"/>
        <v>CRSP06B</v>
      </c>
      <c r="I455" s="11" t="str">
        <f t="shared" si="267"/>
        <v>34</v>
      </c>
      <c r="J455" s="11" t="str">
        <f t="shared" si="268"/>
        <v>Creditor</v>
      </c>
      <c r="K455" s="11" t="str">
        <f>"CS002344"</f>
        <v>CS002344</v>
      </c>
      <c r="L455" s="10" t="str">
        <f>"Milton Keynes Surveys "</f>
        <v xml:space="preserve">Milton Keynes Surveys </v>
      </c>
      <c r="M455" s="12" t="str">
        <f>"20/01/2017 00:00:00"</f>
        <v>20/01/2017 00:00:00</v>
      </c>
      <c r="N455" s="12">
        <v>42755</v>
      </c>
      <c r="O455" s="10" t="str">
        <f>"C008027"</f>
        <v>C008027</v>
      </c>
      <c r="P455" s="13">
        <v>5000</v>
      </c>
      <c r="Q455" s="11" t="str">
        <f>"5000.0000"</f>
        <v>5000.0000</v>
      </c>
      <c r="R455" s="10" t="str">
        <f>"C0004512"</f>
        <v>C0004512</v>
      </c>
      <c r="S455" s="14" t="str">
        <f>"6000.0000"</f>
        <v>6000.0000</v>
      </c>
      <c r="T455" s="10">
        <v>40081</v>
      </c>
      <c r="U455" s="10">
        <v>4100</v>
      </c>
      <c r="V455" s="10" t="str">
        <f>"Capital Works"</f>
        <v>Capital Works</v>
      </c>
      <c r="W455" s="10" t="str">
        <f>"Capital Works"</f>
        <v>Capital Works</v>
      </c>
      <c r="X455" s="10" t="str">
        <f>VLOOKUP(U455,'[1]Account code lookup'!A:B,2,0)</f>
        <v>Contractors Capital Payments</v>
      </c>
      <c r="Z455" s="10" t="str">
        <f>"Capital Regen and Housing"</f>
        <v>Capital Regen and Housing</v>
      </c>
      <c r="AA455" s="10" t="str">
        <f>"Commercial Development Capital"</f>
        <v>Commercial Development Capital</v>
      </c>
      <c r="AB455" s="10" t="str">
        <f>"c2cdb"</f>
        <v>c2cdb</v>
      </c>
      <c r="AD455" s="10" t="str">
        <f>"ccdb02"</f>
        <v>ccdb02</v>
      </c>
      <c r="AE455" s="10" t="str">
        <f>"Finance &amp; Procurement / Finance"</f>
        <v>Finance &amp; Procurement / Finance</v>
      </c>
      <c r="AG455" s="10" t="str">
        <f>"40081/4100"</f>
        <v>40081/4100</v>
      </c>
      <c r="AI455" s="10" t="str">
        <f>"41cwrk"</f>
        <v>41cwrk</v>
      </c>
      <c r="AJ455" s="15" t="str">
        <f>"PIONEER SQ - MULTI STOREY CAR PARK_x000D_
_x000D_
Q27482/JS_x000D_
_x000D_
We would look to produce a mesh of each car park level surface which could be contoured every 20mm therefore enabling_x000D_
us to identify the various slopes, high/low spots. We would also look to extrapolate "</f>
        <v xml:space="preserve">PIONEER SQ - MULTI STOREY CAR PARK_x000D_
_x000D_
Q27482/JS_x000D_
_x000D_
We would look to produce a mesh of each car park level surface which could be contoured every 20mm therefore enabling_x000D_
us to identify the various slopes, high/low spots. We would also look to extrapolate </v>
      </c>
      <c r="AK455" s="10" t="str">
        <f>"Capital"</f>
        <v>Capital</v>
      </c>
      <c r="AL455" s="10" t="str">
        <f>""</f>
        <v/>
      </c>
      <c r="AM455" s="10" t="str">
        <f>""</f>
        <v/>
      </c>
      <c r="AN455" s="10" t="str">
        <f>""</f>
        <v/>
      </c>
      <c r="AO455" s="10" t="str">
        <f>""</f>
        <v/>
      </c>
    </row>
    <row r="456" spans="1:41" s="10" customFormat="1" ht="409.6">
      <c r="A456" s="9"/>
      <c r="B456" s="9"/>
      <c r="C456" s="9"/>
      <c r="D456" s="10" t="str">
        <f>"31840"</f>
        <v>31840</v>
      </c>
      <c r="E456" s="11" t="str">
        <f>""</f>
        <v/>
      </c>
      <c r="F456" s="11" t="str">
        <f t="shared" si="264"/>
        <v>372418</v>
      </c>
      <c r="G456" s="11" t="str">
        <f t="shared" si="265"/>
        <v>2017toJAN</v>
      </c>
      <c r="H456" s="11" t="str">
        <f t="shared" si="266"/>
        <v>CRSP06B</v>
      </c>
      <c r="I456" s="11" t="str">
        <f t="shared" si="267"/>
        <v>34</v>
      </c>
      <c r="J456" s="11" t="str">
        <f t="shared" si="268"/>
        <v>Creditor</v>
      </c>
      <c r="K456" s="11" t="str">
        <f>"CS002876"</f>
        <v>CS002876</v>
      </c>
      <c r="L456" s="10" t="str">
        <f>"MM Consulting Limited"</f>
        <v>MM Consulting Limited</v>
      </c>
      <c r="M456" s="12" t="str">
        <f>"19/01/2017 00:00:00"</f>
        <v>19/01/2017 00:00:00</v>
      </c>
      <c r="N456" s="12">
        <v>42754</v>
      </c>
      <c r="O456" s="10" t="str">
        <f>"C007926"</f>
        <v>C007926</v>
      </c>
      <c r="P456" s="13">
        <v>1800</v>
      </c>
      <c r="Q456" s="11" t="str">
        <f>"1800.0000"</f>
        <v>1800.0000</v>
      </c>
      <c r="R456" s="10" t="str">
        <f>"059252"</f>
        <v>059252</v>
      </c>
      <c r="S456" s="14" t="str">
        <f>"1800.0000"</f>
        <v>1800.0000</v>
      </c>
      <c r="T456" s="10">
        <v>29230</v>
      </c>
      <c r="U456" s="10">
        <v>1467</v>
      </c>
      <c r="V456" s="10" t="str">
        <f>"Services"</f>
        <v>Services</v>
      </c>
      <c r="W456" s="10" t="str">
        <f>"Supplies and Services"</f>
        <v>Supplies and Services</v>
      </c>
      <c r="X456" s="10" t="str">
        <f>VLOOKUP(U456,'[1]Account code lookup'!A:B,2,0)</f>
        <v>Consultancy</v>
      </c>
      <c r="Z456" s="10" t="str">
        <f>"Bicester Regeneration Projects"</f>
        <v>Bicester Regeneration Projects</v>
      </c>
      <c r="AA456" s="10" t="str">
        <f>"Commercial Development"</f>
        <v>Commercial Development</v>
      </c>
      <c r="AB456" s="10" t="str">
        <f>"2cdb"</f>
        <v>2cdb</v>
      </c>
      <c r="AD456" s="10" t="str">
        <f>"cdb01"</f>
        <v>cdb01</v>
      </c>
      <c r="AE456" s="10" t="str">
        <f>"Finance &amp; Procurement / Head of Finance &amp; Procurement"</f>
        <v>Finance &amp; Procurement / Head of Finance &amp; Procurement</v>
      </c>
      <c r="AG456" s="10" t="str">
        <f>"29230/1467"</f>
        <v>29230/1467</v>
      </c>
      <c r="AI456" s="10" t="str">
        <f>"14suse"</f>
        <v>14suse</v>
      </c>
      <c r="AJ456" s="15" t="str">
        <f>"Bicester socio-economic report, a review and update of the Summary of Evidence for Bicester"</f>
        <v>Bicester socio-economic report, a review and update of the Summary of Evidence for Bicester</v>
      </c>
      <c r="AK456" s="10" t="str">
        <f>"Revenue"</f>
        <v>Revenue</v>
      </c>
      <c r="AL456" s="10" t="str">
        <f>""</f>
        <v/>
      </c>
      <c r="AM456" s="10" t="str">
        <f>""</f>
        <v/>
      </c>
      <c r="AN456" s="10" t="str">
        <f>""</f>
        <v/>
      </c>
      <c r="AO456" s="10" t="str">
        <f>""</f>
        <v/>
      </c>
    </row>
    <row r="457" spans="1:41" s="10" customFormat="1" ht="409.6">
      <c r="A457" s="9"/>
      <c r="B457" s="9"/>
      <c r="C457" s="9"/>
      <c r="D457" s="10" t="str">
        <f>"31841"</f>
        <v>31841</v>
      </c>
      <c r="E457" s="11" t="str">
        <f>""</f>
        <v/>
      </c>
      <c r="F457" s="11" t="str">
        <f t="shared" si="264"/>
        <v>372418</v>
      </c>
      <c r="G457" s="11" t="str">
        <f t="shared" si="265"/>
        <v>2017toJAN</v>
      </c>
      <c r="H457" s="11" t="str">
        <f t="shared" si="266"/>
        <v>CRSP06B</v>
      </c>
      <c r="I457" s="11" t="str">
        <f t="shared" si="267"/>
        <v>34</v>
      </c>
      <c r="J457" s="11" t="str">
        <f t="shared" si="268"/>
        <v>Creditor</v>
      </c>
      <c r="K457" s="11" t="str">
        <f>"CS000515"</f>
        <v>CS000515</v>
      </c>
      <c r="L457" s="10" t="str">
        <f>"Monson Engineering Limited"</f>
        <v>Monson Engineering Limited</v>
      </c>
      <c r="M457" s="12" t="str">
        <f>"16/01/2017 00:00:00"</f>
        <v>16/01/2017 00:00:00</v>
      </c>
      <c r="N457" s="12">
        <v>42751</v>
      </c>
      <c r="O457" s="10" t="str">
        <f>"C007586"</f>
        <v>C007586</v>
      </c>
      <c r="P457" s="13">
        <v>710</v>
      </c>
      <c r="Q457" s="11" t="str">
        <f>"710.0000"</f>
        <v>710.0000</v>
      </c>
      <c r="R457" s="10" t="str">
        <f>"C0004427"</f>
        <v>C0004427</v>
      </c>
      <c r="S457" s="14" t="str">
        <f>"852.0000"</f>
        <v>852.0000</v>
      </c>
      <c r="T457" s="10">
        <v>40115</v>
      </c>
      <c r="U457" s="10">
        <v>4100</v>
      </c>
      <c r="V457" s="10" t="str">
        <f>"Capital Works"</f>
        <v>Capital Works</v>
      </c>
      <c r="W457" s="10" t="str">
        <f>"Capital Works"</f>
        <v>Capital Works</v>
      </c>
      <c r="X457" s="10" t="str">
        <f>VLOOKUP(U457,'[1]Account code lookup'!A:B,2,0)</f>
        <v>Contractors Capital Payments</v>
      </c>
      <c r="Z457" s="10" t="str">
        <f>"Capital Regen and Housing"</f>
        <v>Capital Regen and Housing</v>
      </c>
      <c r="AA457" s="10" t="str">
        <f>"Commercial Development Capital"</f>
        <v>Commercial Development Capital</v>
      </c>
      <c r="AB457" s="10" t="str">
        <f>"c2cdb"</f>
        <v>c2cdb</v>
      </c>
      <c r="AD457" s="10" t="str">
        <f>"ccdb02"</f>
        <v>ccdb02</v>
      </c>
      <c r="AE457" s="10" t="str">
        <f>"Regeneration &amp; Housing / Delivery Team"</f>
        <v>Regeneration &amp; Housing / Delivery Team</v>
      </c>
      <c r="AG457" s="10" t="str">
        <f>"40115/4100"</f>
        <v>40115/4100</v>
      </c>
      <c r="AI457" s="10" t="str">
        <f>"41cwrk"</f>
        <v>41cwrk</v>
      </c>
      <c r="AJ457" s="15" t="str">
        <f>"PO for Monson £710 ex vat for the extra design works and inspection works on the Basement, after FSG uncompleted site works properly.  That note should go onto the PO, there will another site visit by Monson to check the completed works and a charge to fo"</f>
        <v>PO for Monson £710 ex vat for the extra design works and inspection works on the Basement, after FSG uncompleted site works properly.  That note should go onto the PO, there will another site visit by Monson to check the completed works and a charge to fo</v>
      </c>
      <c r="AK457" s="10" t="str">
        <f>"Capital"</f>
        <v>Capital</v>
      </c>
      <c r="AL457" s="10" t="str">
        <f>""</f>
        <v/>
      </c>
      <c r="AM457" s="10" t="str">
        <f>""</f>
        <v/>
      </c>
      <c r="AN457" s="10" t="str">
        <f>""</f>
        <v/>
      </c>
      <c r="AO457" s="10" t="str">
        <f>""</f>
        <v/>
      </c>
    </row>
    <row r="458" spans="1:41" s="10" customFormat="1" ht="409.6">
      <c r="A458" s="9"/>
      <c r="B458" s="9"/>
      <c r="C458" s="9"/>
      <c r="D458" s="10" t="str">
        <f>"31842"</f>
        <v>31842</v>
      </c>
      <c r="E458" s="11" t="str">
        <f>""</f>
        <v/>
      </c>
      <c r="F458" s="11" t="str">
        <f t="shared" si="264"/>
        <v>372418</v>
      </c>
      <c r="G458" s="11" t="str">
        <f t="shared" si="265"/>
        <v>2017toJAN</v>
      </c>
      <c r="H458" s="11" t="str">
        <f t="shared" si="266"/>
        <v>CRSP06B</v>
      </c>
      <c r="I458" s="11" t="str">
        <f t="shared" si="267"/>
        <v>34</v>
      </c>
      <c r="J458" s="11" t="str">
        <f t="shared" si="268"/>
        <v>Creditor</v>
      </c>
      <c r="K458" s="11" t="str">
        <f>"CS000516"</f>
        <v>CS000516</v>
      </c>
      <c r="L458" s="10" t="str">
        <f>"Montagu Evans"</f>
        <v>Montagu Evans</v>
      </c>
      <c r="M458" s="12" t="str">
        <f>"18/01/2017 00:00:00"</f>
        <v>18/01/2017 00:00:00</v>
      </c>
      <c r="N458" s="12">
        <v>42753</v>
      </c>
      <c r="O458" s="10" t="str">
        <f>"C007637"</f>
        <v>C007637</v>
      </c>
      <c r="P458" s="13">
        <v>23950</v>
      </c>
      <c r="Q458" s="11" t="str">
        <f>"23950.0000"</f>
        <v>23950.0000</v>
      </c>
      <c r="R458" s="10" t="str">
        <f>"C0004462"</f>
        <v>C0004462</v>
      </c>
      <c r="S458" s="14" t="str">
        <f>"28740.0000"</f>
        <v>28740.0000</v>
      </c>
      <c r="T458" s="10">
        <v>31014</v>
      </c>
      <c r="U458" s="10">
        <v>1767</v>
      </c>
      <c r="V458" s="10" t="str">
        <f>"Professional Fees"</f>
        <v>Professional Fees</v>
      </c>
      <c r="W458" s="10" t="str">
        <f>"Third Party Payments"</f>
        <v>Third Party Payments</v>
      </c>
      <c r="X458" s="10" t="str">
        <f>VLOOKUP(U458,'[1]Account code lookup'!A:B,2,0)</f>
        <v>Professional Fees</v>
      </c>
      <c r="Z458" s="10" t="str">
        <f t="shared" ref="Z458:Z463" si="300">"Regeneration and Housing"</f>
        <v>Regeneration and Housing</v>
      </c>
      <c r="AA458" s="10" t="str">
        <f t="shared" ref="AA458:AA463" si="301">"Commercial Development"</f>
        <v>Commercial Development</v>
      </c>
      <c r="AB458" s="10" t="str">
        <f t="shared" ref="AB458:AB463" si="302">"2cdb"</f>
        <v>2cdb</v>
      </c>
      <c r="AD458" s="10" t="str">
        <f t="shared" ref="AD458:AD463" si="303">"cdb02"</f>
        <v>cdb02</v>
      </c>
      <c r="AE458" s="10" t="str">
        <f>"Finance &amp; Procurement / Head of Finance &amp; Procurement"</f>
        <v>Finance &amp; Procurement / Head of Finance &amp; Procurement</v>
      </c>
      <c r="AG458" s="10" t="str">
        <f>"31014/1767"</f>
        <v>31014/1767</v>
      </c>
      <c r="AI458" s="10" t="str">
        <f>"17tpp"</f>
        <v>17tpp</v>
      </c>
      <c r="AJ458" s="15" t="str">
        <f>"Invoice for 1 September 2016 - 30 November 2016 for professional services to Castle Quay 2 project.  Total Cost £28,740."</f>
        <v>Invoice for 1 September 2016 - 30 November 2016 for professional services to Castle Quay 2 project.  Total Cost £28,740.</v>
      </c>
      <c r="AK458" s="10" t="str">
        <f t="shared" ref="AK458:AK481" si="304">"Revenue"</f>
        <v>Revenue</v>
      </c>
      <c r="AL458" s="10" t="str">
        <f>""</f>
        <v/>
      </c>
      <c r="AM458" s="10" t="str">
        <f>""</f>
        <v/>
      </c>
      <c r="AN458" s="10" t="str">
        <f>""</f>
        <v/>
      </c>
      <c r="AO458" s="10" t="str">
        <f>""</f>
        <v/>
      </c>
    </row>
    <row r="459" spans="1:41" s="10" customFormat="1" ht="409.6">
      <c r="A459" s="9"/>
      <c r="B459" s="9"/>
      <c r="C459" s="9"/>
      <c r="D459" s="10" t="str">
        <f>"31843"</f>
        <v>31843</v>
      </c>
      <c r="E459" s="11" t="str">
        <f>""</f>
        <v/>
      </c>
      <c r="F459" s="11" t="str">
        <f t="shared" si="264"/>
        <v>372418</v>
      </c>
      <c r="G459" s="11" t="str">
        <f t="shared" si="265"/>
        <v>2017toJAN</v>
      </c>
      <c r="H459" s="11" t="str">
        <f t="shared" si="266"/>
        <v>CRSP06B</v>
      </c>
      <c r="I459" s="11" t="str">
        <f t="shared" si="267"/>
        <v>34</v>
      </c>
      <c r="J459" s="11" t="str">
        <f t="shared" si="268"/>
        <v>Creditor</v>
      </c>
      <c r="K459" s="11" t="str">
        <f>"CS000520"</f>
        <v>CS000520</v>
      </c>
      <c r="L459" s="10" t="str">
        <f>"Morgan Hunt UK Ltd"</f>
        <v>Morgan Hunt UK Ltd</v>
      </c>
      <c r="M459" s="12" t="str">
        <f>"09/01/2017 00:00:00"</f>
        <v>09/01/2017 00:00:00</v>
      </c>
      <c r="N459" s="12">
        <v>42744</v>
      </c>
      <c r="O459" s="10" t="str">
        <f>"C007493"</f>
        <v>C007493</v>
      </c>
      <c r="P459" s="13">
        <v>768.75</v>
      </c>
      <c r="Q459" s="11" t="str">
        <f>"768.7500"</f>
        <v>768.7500</v>
      </c>
      <c r="R459" s="10" t="str">
        <f>"C0004324"</f>
        <v>C0004324</v>
      </c>
      <c r="S459" s="14" t="str">
        <f>"977.2200"</f>
        <v>977.2200</v>
      </c>
      <c r="T459" s="10">
        <v>29510</v>
      </c>
      <c r="U459" s="10">
        <v>1136</v>
      </c>
      <c r="V459" s="10" t="str">
        <f>"Direct employee exps and bens"</f>
        <v>Direct employee exps and bens</v>
      </c>
      <c r="W459" s="10" t="str">
        <f>"Employees"</f>
        <v>Employees</v>
      </c>
      <c r="X459" s="10" t="str">
        <f>VLOOKUP(U459,'[1]Account code lookup'!A:B,2,0)</f>
        <v>Agency Staff</v>
      </c>
      <c r="Z459" s="10" t="str">
        <f t="shared" si="300"/>
        <v>Regeneration and Housing</v>
      </c>
      <c r="AA459" s="10" t="str">
        <f t="shared" si="301"/>
        <v>Commercial Development</v>
      </c>
      <c r="AB459" s="10" t="str">
        <f t="shared" si="302"/>
        <v>2cdb</v>
      </c>
      <c r="AD459" s="10" t="str">
        <f t="shared" si="303"/>
        <v>cdb02</v>
      </c>
      <c r="AE459" s="10" t="str">
        <f>"Regeneration &amp; Housing / Delivery Team"</f>
        <v>Regeneration &amp; Housing / Delivery Team</v>
      </c>
      <c r="AG459" s="10" t="str">
        <f>"29510/1136"</f>
        <v>29510/1136</v>
      </c>
      <c r="AI459" s="10" t="str">
        <f>"11emps"</f>
        <v>11emps</v>
      </c>
      <c r="AJ459" s="15" t="str">
        <f>"Dawn Nash - Housing Manager_x000D_
PO for £7,000 to cover 10 weeks"</f>
        <v>Dawn Nash - Housing Manager_x000D_
PO for £7,000 to cover 10 weeks</v>
      </c>
      <c r="AK459" s="10" t="str">
        <f t="shared" si="304"/>
        <v>Revenue</v>
      </c>
      <c r="AL459" s="10" t="str">
        <f>""</f>
        <v/>
      </c>
      <c r="AM459" s="10" t="str">
        <f>""</f>
        <v/>
      </c>
      <c r="AN459" s="10" t="str">
        <f>""</f>
        <v/>
      </c>
      <c r="AO459" s="10" t="str">
        <f>""</f>
        <v/>
      </c>
    </row>
    <row r="460" spans="1:41" s="10" customFormat="1" ht="409.6">
      <c r="A460" s="9"/>
      <c r="B460" s="9"/>
      <c r="C460" s="9"/>
      <c r="D460" s="10" t="str">
        <f>"31844"</f>
        <v>31844</v>
      </c>
      <c r="E460" s="11" t="str">
        <f>""</f>
        <v/>
      </c>
      <c r="F460" s="11" t="str">
        <f t="shared" si="264"/>
        <v>372418</v>
      </c>
      <c r="G460" s="11" t="str">
        <f t="shared" si="265"/>
        <v>2017toJAN</v>
      </c>
      <c r="H460" s="11" t="str">
        <f t="shared" si="266"/>
        <v>CRSP06B</v>
      </c>
      <c r="I460" s="11" t="str">
        <f t="shared" si="267"/>
        <v>34</v>
      </c>
      <c r="J460" s="11" t="str">
        <f t="shared" si="268"/>
        <v>Creditor</v>
      </c>
      <c r="K460" s="11" t="str">
        <f>"CS000520"</f>
        <v>CS000520</v>
      </c>
      <c r="L460" s="10" t="str">
        <f>"Morgan Hunt UK Ltd"</f>
        <v>Morgan Hunt UK Ltd</v>
      </c>
      <c r="M460" s="12" t="str">
        <f>"09/01/2017 00:00:00"</f>
        <v>09/01/2017 00:00:00</v>
      </c>
      <c r="N460" s="12">
        <v>42744</v>
      </c>
      <c r="O460" s="10" t="str">
        <f>"C007645"</f>
        <v>C007645</v>
      </c>
      <c r="P460" s="13">
        <v>45.6</v>
      </c>
      <c r="Q460" s="11" t="str">
        <f>"45.6000"</f>
        <v>45.6000</v>
      </c>
      <c r="R460" s="10" t="str">
        <f>"C0004324"</f>
        <v>C0004324</v>
      </c>
      <c r="S460" s="14" t="str">
        <f>"977.2200"</f>
        <v>977.2200</v>
      </c>
      <c r="T460" s="10">
        <v>29510</v>
      </c>
      <c r="U460" s="10">
        <v>1136</v>
      </c>
      <c r="V460" s="10" t="str">
        <f>"Direct employee exps and bens"</f>
        <v>Direct employee exps and bens</v>
      </c>
      <c r="W460" s="10" t="str">
        <f>"Employees"</f>
        <v>Employees</v>
      </c>
      <c r="X460" s="10" t="str">
        <f>VLOOKUP(U460,'[1]Account code lookup'!A:B,2,0)</f>
        <v>Agency Staff</v>
      </c>
      <c r="Z460" s="10" t="str">
        <f t="shared" si="300"/>
        <v>Regeneration and Housing</v>
      </c>
      <c r="AA460" s="10" t="str">
        <f t="shared" si="301"/>
        <v>Commercial Development</v>
      </c>
      <c r="AB460" s="10" t="str">
        <f t="shared" si="302"/>
        <v>2cdb</v>
      </c>
      <c r="AD460" s="10" t="str">
        <f t="shared" si="303"/>
        <v>cdb02</v>
      </c>
      <c r="AE460" s="10" t="str">
        <f>"Regeneration &amp; Housing / Delivery Team"</f>
        <v>Regeneration &amp; Housing / Delivery Team</v>
      </c>
      <c r="AG460" s="10" t="str">
        <f>"29510/1136"</f>
        <v>29510/1136</v>
      </c>
      <c r="AI460" s="10" t="str">
        <f>"11emps"</f>
        <v>11emps</v>
      </c>
      <c r="AJ460" s="15" t="str">
        <f>"Dawn Nash - Housing Manager_x000D_
PO for £7,000 to cover 10 weeks"</f>
        <v>Dawn Nash - Housing Manager_x000D_
PO for £7,000 to cover 10 weeks</v>
      </c>
      <c r="AK460" s="10" t="str">
        <f t="shared" si="304"/>
        <v>Revenue</v>
      </c>
      <c r="AL460" s="10" t="str">
        <f>""</f>
        <v/>
      </c>
      <c r="AM460" s="10" t="str">
        <f>""</f>
        <v/>
      </c>
      <c r="AN460" s="10" t="str">
        <f>""</f>
        <v/>
      </c>
      <c r="AO460" s="10" t="str">
        <f>""</f>
        <v/>
      </c>
    </row>
    <row r="461" spans="1:41" s="10" customFormat="1" ht="409.6">
      <c r="A461" s="9"/>
      <c r="B461" s="9"/>
      <c r="C461" s="9"/>
      <c r="D461" s="10" t="str">
        <f>"31845"</f>
        <v>31845</v>
      </c>
      <c r="E461" s="11" t="str">
        <f>""</f>
        <v/>
      </c>
      <c r="F461" s="11" t="str">
        <f t="shared" si="264"/>
        <v>372418</v>
      </c>
      <c r="G461" s="11" t="str">
        <f t="shared" si="265"/>
        <v>2017toJAN</v>
      </c>
      <c r="H461" s="11" t="str">
        <f t="shared" si="266"/>
        <v>CRSP06B</v>
      </c>
      <c r="I461" s="11" t="str">
        <f t="shared" si="267"/>
        <v>34</v>
      </c>
      <c r="J461" s="11" t="str">
        <f t="shared" si="268"/>
        <v>Creditor</v>
      </c>
      <c r="K461" s="11" t="str">
        <f>"CS000520"</f>
        <v>CS000520</v>
      </c>
      <c r="L461" s="10" t="str">
        <f>"Morgan Hunt UK Ltd"</f>
        <v>Morgan Hunt UK Ltd</v>
      </c>
      <c r="M461" s="12" t="str">
        <f>"16/01/2017 00:00:00"</f>
        <v>16/01/2017 00:00:00</v>
      </c>
      <c r="N461" s="12">
        <v>42751</v>
      </c>
      <c r="O461" s="10" t="str">
        <f>"C007702"</f>
        <v>C007702</v>
      </c>
      <c r="P461" s="13">
        <v>437.5</v>
      </c>
      <c r="Q461" s="11" t="str">
        <f>"437.5000"</f>
        <v>437.5000</v>
      </c>
      <c r="R461" s="10" t="str">
        <f>"C0004428"</f>
        <v>C0004428</v>
      </c>
      <c r="S461" s="14" t="str">
        <f>"619.8000"</f>
        <v>619.8000</v>
      </c>
      <c r="T461" s="10">
        <v>29510</v>
      </c>
      <c r="U461" s="10">
        <v>1136</v>
      </c>
      <c r="V461" s="10" t="str">
        <f>"Direct employee exps and bens"</f>
        <v>Direct employee exps and bens</v>
      </c>
      <c r="W461" s="10" t="str">
        <f>"Employees"</f>
        <v>Employees</v>
      </c>
      <c r="X461" s="10" t="str">
        <f>VLOOKUP(U461,'[1]Account code lookup'!A:B,2,0)</f>
        <v>Agency Staff</v>
      </c>
      <c r="Z461" s="10" t="str">
        <f t="shared" si="300"/>
        <v>Regeneration and Housing</v>
      </c>
      <c r="AA461" s="10" t="str">
        <f t="shared" si="301"/>
        <v>Commercial Development</v>
      </c>
      <c r="AB461" s="10" t="str">
        <f t="shared" si="302"/>
        <v>2cdb</v>
      </c>
      <c r="AD461" s="10" t="str">
        <f t="shared" si="303"/>
        <v>cdb02</v>
      </c>
      <c r="AE461" s="10" t="str">
        <f>"Regeneration &amp; Housing / Delivery Team"</f>
        <v>Regeneration &amp; Housing / Delivery Team</v>
      </c>
      <c r="AG461" s="10" t="str">
        <f>"29510/1136"</f>
        <v>29510/1136</v>
      </c>
      <c r="AI461" s="10" t="str">
        <f>"11emps"</f>
        <v>11emps</v>
      </c>
      <c r="AJ461" s="15" t="str">
        <f>"Dawn Nash - Housing Manager_x000D_
PO for £7,000 to cover 10 weeks"</f>
        <v>Dawn Nash - Housing Manager_x000D_
PO for £7,000 to cover 10 weeks</v>
      </c>
      <c r="AK461" s="10" t="str">
        <f t="shared" si="304"/>
        <v>Revenue</v>
      </c>
      <c r="AL461" s="10" t="str">
        <f>""</f>
        <v/>
      </c>
      <c r="AM461" s="10" t="str">
        <f>""</f>
        <v/>
      </c>
      <c r="AN461" s="10" t="str">
        <f>""</f>
        <v/>
      </c>
      <c r="AO461" s="10" t="str">
        <f>""</f>
        <v/>
      </c>
    </row>
    <row r="462" spans="1:41" s="10" customFormat="1" ht="409.6">
      <c r="A462" s="9"/>
      <c r="B462" s="9"/>
      <c r="C462" s="9"/>
      <c r="D462" s="10" t="str">
        <f>"31846"</f>
        <v>31846</v>
      </c>
      <c r="E462" s="11" t="str">
        <f>""</f>
        <v/>
      </c>
      <c r="F462" s="11" t="str">
        <f t="shared" si="264"/>
        <v>372418</v>
      </c>
      <c r="G462" s="11" t="str">
        <f t="shared" si="265"/>
        <v>2017toJAN</v>
      </c>
      <c r="H462" s="11" t="str">
        <f t="shared" si="266"/>
        <v>CRSP06B</v>
      </c>
      <c r="I462" s="11" t="str">
        <f t="shared" si="267"/>
        <v>34</v>
      </c>
      <c r="J462" s="11" t="str">
        <f t="shared" si="268"/>
        <v>Creditor</v>
      </c>
      <c r="K462" s="11" t="str">
        <f>"CS000520"</f>
        <v>CS000520</v>
      </c>
      <c r="L462" s="10" t="str">
        <f>"Morgan Hunt UK Ltd"</f>
        <v>Morgan Hunt UK Ltd</v>
      </c>
      <c r="M462" s="12" t="str">
        <f>"16/01/2017 00:00:00"</f>
        <v>16/01/2017 00:00:00</v>
      </c>
      <c r="N462" s="12">
        <v>42751</v>
      </c>
      <c r="O462" s="10" t="str">
        <f>"C007720"</f>
        <v>C007720</v>
      </c>
      <c r="P462" s="13">
        <v>79</v>
      </c>
      <c r="Q462" s="11" t="str">
        <f>"79.0000"</f>
        <v>79.0000</v>
      </c>
      <c r="R462" s="10" t="str">
        <f>"C0004428"</f>
        <v>C0004428</v>
      </c>
      <c r="S462" s="14" t="str">
        <f>"619.8000"</f>
        <v>619.8000</v>
      </c>
      <c r="T462" s="10">
        <v>29510</v>
      </c>
      <c r="U462" s="10">
        <v>1136</v>
      </c>
      <c r="V462" s="10" t="str">
        <f>"Direct employee exps and bens"</f>
        <v>Direct employee exps and bens</v>
      </c>
      <c r="W462" s="10" t="str">
        <f>"Employees"</f>
        <v>Employees</v>
      </c>
      <c r="X462" s="10" t="str">
        <f>VLOOKUP(U462,'[1]Account code lookup'!A:B,2,0)</f>
        <v>Agency Staff</v>
      </c>
      <c r="Z462" s="10" t="str">
        <f t="shared" si="300"/>
        <v>Regeneration and Housing</v>
      </c>
      <c r="AA462" s="10" t="str">
        <f t="shared" si="301"/>
        <v>Commercial Development</v>
      </c>
      <c r="AB462" s="10" t="str">
        <f t="shared" si="302"/>
        <v>2cdb</v>
      </c>
      <c r="AD462" s="10" t="str">
        <f t="shared" si="303"/>
        <v>cdb02</v>
      </c>
      <c r="AE462" s="10" t="str">
        <f>"Regeneration &amp; Housing / Delivery Team"</f>
        <v>Regeneration &amp; Housing / Delivery Team</v>
      </c>
      <c r="AG462" s="10" t="str">
        <f>"29510/1136"</f>
        <v>29510/1136</v>
      </c>
      <c r="AI462" s="10" t="str">
        <f>"11emps"</f>
        <v>11emps</v>
      </c>
      <c r="AJ462" s="15" t="str">
        <f>"Dawn Nash - Housing Manager_x000D_
PO for £7,000 to cover 10 weeks"</f>
        <v>Dawn Nash - Housing Manager_x000D_
PO for £7,000 to cover 10 weeks</v>
      </c>
      <c r="AK462" s="10" t="str">
        <f t="shared" si="304"/>
        <v>Revenue</v>
      </c>
      <c r="AL462" s="10" t="str">
        <f>""</f>
        <v/>
      </c>
      <c r="AM462" s="10" t="str">
        <f>""</f>
        <v/>
      </c>
      <c r="AN462" s="10" t="str">
        <f>""</f>
        <v/>
      </c>
      <c r="AO462" s="10" t="str">
        <f>""</f>
        <v/>
      </c>
    </row>
    <row r="463" spans="1:41" s="10" customFormat="1" ht="409.6">
      <c r="A463" s="9"/>
      <c r="B463" s="9"/>
      <c r="C463" s="9"/>
      <c r="D463" s="10" t="str">
        <f>"31847"</f>
        <v>31847</v>
      </c>
      <c r="E463" s="11" t="str">
        <f>""</f>
        <v/>
      </c>
      <c r="F463" s="11" t="str">
        <f t="shared" si="264"/>
        <v>372418</v>
      </c>
      <c r="G463" s="11" t="str">
        <f t="shared" si="265"/>
        <v>2017toJAN</v>
      </c>
      <c r="H463" s="11" t="str">
        <f t="shared" si="266"/>
        <v>CRSP06B</v>
      </c>
      <c r="I463" s="11" t="str">
        <f t="shared" si="267"/>
        <v>34</v>
      </c>
      <c r="J463" s="11" t="str">
        <f t="shared" si="268"/>
        <v>Creditor</v>
      </c>
      <c r="K463" s="11" t="str">
        <f>"CS000520"</f>
        <v>CS000520</v>
      </c>
      <c r="L463" s="10" t="str">
        <f>"Morgan Hunt UK Ltd"</f>
        <v>Morgan Hunt UK Ltd</v>
      </c>
      <c r="M463" s="12" t="str">
        <f>"23/01/2017 00:00:00"</f>
        <v>23/01/2017 00:00:00</v>
      </c>
      <c r="N463" s="12">
        <v>42758</v>
      </c>
      <c r="O463" s="10" t="str">
        <f>"C007715"</f>
        <v>C007715</v>
      </c>
      <c r="P463" s="13">
        <v>525</v>
      </c>
      <c r="Q463" s="11" t="str">
        <f>"525.0000"</f>
        <v>525.0000</v>
      </c>
      <c r="R463" s="10" t="str">
        <f>"C0004526"</f>
        <v>C0004526</v>
      </c>
      <c r="S463" s="14" t="str">
        <f>"630.0000"</f>
        <v>630.0000</v>
      </c>
      <c r="T463" s="10">
        <v>29510</v>
      </c>
      <c r="U463" s="10">
        <v>1136</v>
      </c>
      <c r="V463" s="10" t="str">
        <f>"Direct employee exps and bens"</f>
        <v>Direct employee exps and bens</v>
      </c>
      <c r="W463" s="10" t="str">
        <f>"Employees"</f>
        <v>Employees</v>
      </c>
      <c r="X463" s="10" t="str">
        <f>VLOOKUP(U463,'[1]Account code lookup'!A:B,2,0)</f>
        <v>Agency Staff</v>
      </c>
      <c r="Z463" s="10" t="str">
        <f t="shared" si="300"/>
        <v>Regeneration and Housing</v>
      </c>
      <c r="AA463" s="10" t="str">
        <f t="shared" si="301"/>
        <v>Commercial Development</v>
      </c>
      <c r="AB463" s="10" t="str">
        <f t="shared" si="302"/>
        <v>2cdb</v>
      </c>
      <c r="AD463" s="10" t="str">
        <f t="shared" si="303"/>
        <v>cdb02</v>
      </c>
      <c r="AE463" s="10" t="str">
        <f>"Regeneration &amp; Housing / Delivery Team"</f>
        <v>Regeneration &amp; Housing / Delivery Team</v>
      </c>
      <c r="AG463" s="10" t="str">
        <f>"29510/1136"</f>
        <v>29510/1136</v>
      </c>
      <c r="AI463" s="10" t="str">
        <f>"11emps"</f>
        <v>11emps</v>
      </c>
      <c r="AJ463" s="15" t="str">
        <f>"Dawn Nash - Housing Manager_x000D_
PO for £7,000 to cover 10 weeks"</f>
        <v>Dawn Nash - Housing Manager_x000D_
PO for £7,000 to cover 10 weeks</v>
      </c>
      <c r="AK463" s="10" t="str">
        <f t="shared" si="304"/>
        <v>Revenue</v>
      </c>
      <c r="AL463" s="10" t="str">
        <f>""</f>
        <v/>
      </c>
      <c r="AM463" s="10" t="str">
        <f>""</f>
        <v/>
      </c>
      <c r="AN463" s="10" t="str">
        <f>""</f>
        <v/>
      </c>
      <c r="AO463" s="10" t="str">
        <f>""</f>
        <v/>
      </c>
    </row>
    <row r="464" spans="1:41" s="10" customFormat="1" ht="409.6">
      <c r="A464" s="9"/>
      <c r="B464" s="9"/>
      <c r="C464" s="9"/>
      <c r="D464" s="10" t="str">
        <f>"31848"</f>
        <v>31848</v>
      </c>
      <c r="E464" s="11" t="str">
        <f>""</f>
        <v/>
      </c>
      <c r="F464" s="11" t="str">
        <f t="shared" si="264"/>
        <v>372418</v>
      </c>
      <c r="G464" s="11" t="str">
        <f t="shared" si="265"/>
        <v>2017toJAN</v>
      </c>
      <c r="H464" s="11" t="str">
        <f t="shared" si="266"/>
        <v>CRSP06B</v>
      </c>
      <c r="I464" s="11" t="str">
        <f t="shared" si="267"/>
        <v>34</v>
      </c>
      <c r="J464" s="11" t="str">
        <f t="shared" si="268"/>
        <v>Creditor</v>
      </c>
      <c r="K464" s="11" t="str">
        <f>"CS001994"</f>
        <v>CS001994</v>
      </c>
      <c r="L464" s="10" t="str">
        <f>"MP Printers"</f>
        <v>MP Printers</v>
      </c>
      <c r="M464" s="12" t="str">
        <f>"06/01/2017 00:00:00"</f>
        <v>06/01/2017 00:00:00</v>
      </c>
      <c r="N464" s="12">
        <v>42741</v>
      </c>
      <c r="O464" s="10" t="str">
        <f>"C007171"</f>
        <v>C007171</v>
      </c>
      <c r="P464" s="13">
        <v>290</v>
      </c>
      <c r="Q464" s="11" t="str">
        <f>"290.0000"</f>
        <v>290.0000</v>
      </c>
      <c r="R464" s="10" t="str">
        <f>"C0004308"</f>
        <v>C0004308</v>
      </c>
      <c r="S464" s="14" t="str">
        <f>"1219.2000"</f>
        <v>1219.2000</v>
      </c>
      <c r="T464" s="10">
        <v>25300</v>
      </c>
      <c r="U464" s="10">
        <v>1446</v>
      </c>
      <c r="V464" s="10" t="str">
        <f>"Printing Stationery &amp; Off Supp"</f>
        <v>Printing Stationery &amp; Off Supp</v>
      </c>
      <c r="W464" s="10" t="str">
        <f>"Supplies and Services"</f>
        <v>Supplies and Services</v>
      </c>
      <c r="X464" s="10" t="str">
        <f>VLOOKUP(U464,'[1]Account code lookup'!A:B,2,0)</f>
        <v>External Print &amp; Design Work</v>
      </c>
      <c r="Z464" s="10" t="str">
        <f>"Community Services"</f>
        <v>Community Services</v>
      </c>
      <c r="AA464" s="10" t="str">
        <f>"Operations and Delivery"</f>
        <v>Operations and Delivery</v>
      </c>
      <c r="AB464" s="10" t="str">
        <f>"5oad"</f>
        <v>5oad</v>
      </c>
      <c r="AD464" s="10" t="str">
        <f>"oad01"</f>
        <v>oad01</v>
      </c>
      <c r="AE464" s="10" t="str">
        <f>"Finance &amp; Procurement / Head of Finance &amp; Procurement"</f>
        <v>Finance &amp; Procurement / Head of Finance &amp; Procurement</v>
      </c>
      <c r="AG464" s="10" t="str">
        <f>"25300/1446"</f>
        <v>25300/1446</v>
      </c>
      <c r="AI464" s="10" t="str">
        <f>"14suse"</f>
        <v>14suse</v>
      </c>
      <c r="AJ464" s="15" t="str">
        <f>"240mm x 150mm signs on 5mm Foamboard x 100 £324.00 Q33940 (pre-drilled but cable ties not supplied)._x000D_
188mm x 159mm signs on 5mm Foamboard x 100 £290.00 Q33941 (pre-drilled but cable ties not supplied)._x000D_
delivery:FAO Mike Grant_x000D_
Community Services_x000D_
Cherwe"</f>
        <v>240mm x 150mm signs on 5mm Foamboard x 100 £324.00 Q33940 (pre-drilled but cable ties not supplied)._x000D_
188mm x 159mm signs on 5mm Foamboard x 100 £290.00 Q33941 (pre-drilled but cable ties not supplied)._x000D_
delivery:FAO Mike Grant_x000D_
Community Services_x000D_
Cherwe</v>
      </c>
      <c r="AK464" s="10" t="str">
        <f t="shared" si="304"/>
        <v>Revenue</v>
      </c>
      <c r="AL464" s="10" t="str">
        <f>""</f>
        <v/>
      </c>
      <c r="AM464" s="10" t="str">
        <f>""</f>
        <v/>
      </c>
      <c r="AN464" s="10" t="str">
        <f>""</f>
        <v/>
      </c>
      <c r="AO464" s="10" t="str">
        <f>""</f>
        <v/>
      </c>
    </row>
    <row r="465" spans="1:41" s="10" customFormat="1" ht="409.6">
      <c r="A465" s="9"/>
      <c r="B465" s="9"/>
      <c r="C465" s="9"/>
      <c r="D465" s="10" t="str">
        <f>"31849"</f>
        <v>31849</v>
      </c>
      <c r="E465" s="11" t="str">
        <f>""</f>
        <v/>
      </c>
      <c r="F465" s="11" t="str">
        <f t="shared" si="264"/>
        <v>372418</v>
      </c>
      <c r="G465" s="11" t="str">
        <f t="shared" si="265"/>
        <v>2017toJAN</v>
      </c>
      <c r="H465" s="11" t="str">
        <f t="shared" si="266"/>
        <v>CRSP06B</v>
      </c>
      <c r="I465" s="11" t="str">
        <f t="shared" si="267"/>
        <v>34</v>
      </c>
      <c r="J465" s="11" t="str">
        <f t="shared" si="268"/>
        <v>Creditor</v>
      </c>
      <c r="K465" s="11" t="str">
        <f>"CS001994"</f>
        <v>CS001994</v>
      </c>
      <c r="L465" s="10" t="str">
        <f>"MP Printers"</f>
        <v>MP Printers</v>
      </c>
      <c r="M465" s="12" t="str">
        <f>"06/01/2017 00:00:00"</f>
        <v>06/01/2017 00:00:00</v>
      </c>
      <c r="N465" s="12">
        <v>42741</v>
      </c>
      <c r="O465" s="10" t="str">
        <f>"C007172"</f>
        <v>C007172</v>
      </c>
      <c r="P465" s="13">
        <v>324</v>
      </c>
      <c r="Q465" s="11" t="str">
        <f>"324.0000"</f>
        <v>324.0000</v>
      </c>
      <c r="R465" s="10" t="str">
        <f>"C0004308"</f>
        <v>C0004308</v>
      </c>
      <c r="S465" s="14" t="str">
        <f>"1219.2000"</f>
        <v>1219.2000</v>
      </c>
      <c r="T465" s="10">
        <v>25300</v>
      </c>
      <c r="U465" s="10">
        <v>1446</v>
      </c>
      <c r="V465" s="10" t="str">
        <f>"Printing Stationery &amp; Off Supp"</f>
        <v>Printing Stationery &amp; Off Supp</v>
      </c>
      <c r="W465" s="10" t="str">
        <f>"Supplies and Services"</f>
        <v>Supplies and Services</v>
      </c>
      <c r="X465" s="10" t="str">
        <f>VLOOKUP(U465,'[1]Account code lookup'!A:B,2,0)</f>
        <v>External Print &amp; Design Work</v>
      </c>
      <c r="Z465" s="10" t="str">
        <f>"Community Services"</f>
        <v>Community Services</v>
      </c>
      <c r="AA465" s="10" t="str">
        <f>"Operations and Delivery"</f>
        <v>Operations and Delivery</v>
      </c>
      <c r="AB465" s="10" t="str">
        <f>"5oad"</f>
        <v>5oad</v>
      </c>
      <c r="AD465" s="10" t="str">
        <f>"oad01"</f>
        <v>oad01</v>
      </c>
      <c r="AE465" s="10" t="str">
        <f>"Finance &amp; Procurement / Head of Finance &amp; Procurement"</f>
        <v>Finance &amp; Procurement / Head of Finance &amp; Procurement</v>
      </c>
      <c r="AG465" s="10" t="str">
        <f>"25300/1446"</f>
        <v>25300/1446</v>
      </c>
      <c r="AI465" s="10" t="str">
        <f>"14suse"</f>
        <v>14suse</v>
      </c>
      <c r="AJ465" s="15" t="str">
        <f>"240mm x 150mm signs on 5mm Foamboard x 100 £324.00 Q33940 (pre-drilled but cable ties not supplied)._x000D_
188mm x 159mm signs on 5mm Foamboard x 100 £290.00 Q33941 (pre-drilled but cable ties not supplied)._x000D_
delivery:FAO Mike Grant_x000D_
Community Services_x000D_
Cherwe"</f>
        <v>240mm x 150mm signs on 5mm Foamboard x 100 £324.00 Q33940 (pre-drilled but cable ties not supplied)._x000D_
188mm x 159mm signs on 5mm Foamboard x 100 £290.00 Q33941 (pre-drilled but cable ties not supplied)._x000D_
delivery:FAO Mike Grant_x000D_
Community Services_x000D_
Cherwe</v>
      </c>
      <c r="AK465" s="10" t="str">
        <f t="shared" si="304"/>
        <v>Revenue</v>
      </c>
      <c r="AL465" s="10" t="str">
        <f>""</f>
        <v/>
      </c>
      <c r="AM465" s="10" t="str">
        <f>""</f>
        <v/>
      </c>
      <c r="AN465" s="10" t="str">
        <f>""</f>
        <v/>
      </c>
      <c r="AO465" s="10" t="str">
        <f>""</f>
        <v/>
      </c>
    </row>
    <row r="466" spans="1:41" s="10" customFormat="1" ht="409.6">
      <c r="A466" s="9"/>
      <c r="B466" s="9"/>
      <c r="C466" s="9"/>
      <c r="D466" s="10" t="str">
        <f>"31850"</f>
        <v>31850</v>
      </c>
      <c r="E466" s="11" t="str">
        <f>""</f>
        <v/>
      </c>
      <c r="F466" s="11" t="str">
        <f t="shared" si="264"/>
        <v>372418</v>
      </c>
      <c r="G466" s="11" t="str">
        <f t="shared" si="265"/>
        <v>2017toJAN</v>
      </c>
      <c r="H466" s="11" t="str">
        <f t="shared" si="266"/>
        <v>CRSP06B</v>
      </c>
      <c r="I466" s="11" t="str">
        <f t="shared" si="267"/>
        <v>34</v>
      </c>
      <c r="J466" s="11" t="str">
        <f t="shared" si="268"/>
        <v>Creditor</v>
      </c>
      <c r="K466" s="11" t="str">
        <f>"CS001994"</f>
        <v>CS001994</v>
      </c>
      <c r="L466" s="10" t="str">
        <f>"MP Printers"</f>
        <v>MP Printers</v>
      </c>
      <c r="M466" s="12" t="str">
        <f>"06/01/2017 00:00:00"</f>
        <v>06/01/2017 00:00:00</v>
      </c>
      <c r="N466" s="12">
        <v>42741</v>
      </c>
      <c r="O466" s="10" t="str">
        <f>"C007383"</f>
        <v>C007383</v>
      </c>
      <c r="P466" s="13">
        <v>78</v>
      </c>
      <c r="Q466" s="11" t="str">
        <f>"78.0000"</f>
        <v>78.0000</v>
      </c>
      <c r="R466" s="10" t="str">
        <f>"C0004308"</f>
        <v>C0004308</v>
      </c>
      <c r="S466" s="14" t="str">
        <f>"1219.2000"</f>
        <v>1219.2000</v>
      </c>
      <c r="T466" s="10">
        <v>25300</v>
      </c>
      <c r="U466" s="10">
        <v>1446</v>
      </c>
      <c r="V466" s="10" t="str">
        <f>"Printing Stationery &amp; Off Supp"</f>
        <v>Printing Stationery &amp; Off Supp</v>
      </c>
      <c r="W466" s="10" t="str">
        <f>"Supplies and Services"</f>
        <v>Supplies and Services</v>
      </c>
      <c r="X466" s="10" t="str">
        <f>VLOOKUP(U466,'[1]Account code lookup'!A:B,2,0)</f>
        <v>External Print &amp; Design Work</v>
      </c>
      <c r="Z466" s="10" t="str">
        <f>"Community Services"</f>
        <v>Community Services</v>
      </c>
      <c r="AA466" s="10" t="str">
        <f>"Operations and Delivery"</f>
        <v>Operations and Delivery</v>
      </c>
      <c r="AB466" s="10" t="str">
        <f>"5oad"</f>
        <v>5oad</v>
      </c>
      <c r="AD466" s="10" t="str">
        <f>"oad01"</f>
        <v>oad01</v>
      </c>
      <c r="AE466" s="10" t="str">
        <f>"Finance &amp; Procurement / Head of Finance &amp; Procurement"</f>
        <v>Finance &amp; Procurement / Head of Finance &amp; Procurement</v>
      </c>
      <c r="AG466" s="10" t="str">
        <f>"25300/1446"</f>
        <v>25300/1446</v>
      </c>
      <c r="AI466" s="10" t="str">
        <f>"14suse"</f>
        <v>14suse</v>
      </c>
      <c r="AJ466" s="15" t="str">
        <f>"PSPO sign stickers_x000D_
Delivery to Bodicote House_x000D_
FAO Mike Grant"</f>
        <v>PSPO sign stickers_x000D_
Delivery to Bodicote House_x000D_
FAO Mike Grant</v>
      </c>
      <c r="AK466" s="10" t="str">
        <f t="shared" si="304"/>
        <v>Revenue</v>
      </c>
      <c r="AL466" s="10" t="str">
        <f>""</f>
        <v/>
      </c>
      <c r="AM466" s="10" t="str">
        <f>""</f>
        <v/>
      </c>
      <c r="AN466" s="10" t="str">
        <f>""</f>
        <v/>
      </c>
      <c r="AO466" s="10" t="str">
        <f>""</f>
        <v/>
      </c>
    </row>
    <row r="467" spans="1:41" s="10" customFormat="1" ht="409.6">
      <c r="A467" s="9"/>
      <c r="B467" s="9"/>
      <c r="C467" s="9"/>
      <c r="D467" s="10" t="str">
        <f>"31851"</f>
        <v>31851</v>
      </c>
      <c r="E467" s="11" t="str">
        <f>""</f>
        <v/>
      </c>
      <c r="F467" s="11" t="str">
        <f t="shared" si="264"/>
        <v>372418</v>
      </c>
      <c r="G467" s="11" t="str">
        <f t="shared" si="265"/>
        <v>2017toJAN</v>
      </c>
      <c r="H467" s="11" t="str">
        <f t="shared" si="266"/>
        <v>CRSP06B</v>
      </c>
      <c r="I467" s="11" t="str">
        <f t="shared" si="267"/>
        <v>34</v>
      </c>
      <c r="J467" s="11" t="str">
        <f t="shared" si="268"/>
        <v>Creditor</v>
      </c>
      <c r="K467" s="11" t="str">
        <f>"CS001994"</f>
        <v>CS001994</v>
      </c>
      <c r="L467" s="10" t="str">
        <f>"MP Printers"</f>
        <v>MP Printers</v>
      </c>
      <c r="M467" s="12" t="str">
        <f>"06/01/2017 00:00:00"</f>
        <v>06/01/2017 00:00:00</v>
      </c>
      <c r="N467" s="12">
        <v>42741</v>
      </c>
      <c r="O467" s="10" t="str">
        <f>"C007384"</f>
        <v>C007384</v>
      </c>
      <c r="P467" s="13">
        <v>324</v>
      </c>
      <c r="Q467" s="11" t="str">
        <f>"324.0000"</f>
        <v>324.0000</v>
      </c>
      <c r="R467" s="10" t="str">
        <f>"C0004308"</f>
        <v>C0004308</v>
      </c>
      <c r="S467" s="14" t="str">
        <f>"1219.2000"</f>
        <v>1219.2000</v>
      </c>
      <c r="T467" s="10">
        <v>25300</v>
      </c>
      <c r="U467" s="10">
        <v>1446</v>
      </c>
      <c r="V467" s="10" t="str">
        <f>"Printing Stationery &amp; Off Supp"</f>
        <v>Printing Stationery &amp; Off Supp</v>
      </c>
      <c r="W467" s="10" t="str">
        <f>"Supplies and Services"</f>
        <v>Supplies and Services</v>
      </c>
      <c r="X467" s="10" t="str">
        <f>VLOOKUP(U467,'[1]Account code lookup'!A:B,2,0)</f>
        <v>External Print &amp; Design Work</v>
      </c>
      <c r="Z467" s="10" t="str">
        <f>"Community Services"</f>
        <v>Community Services</v>
      </c>
      <c r="AA467" s="10" t="str">
        <f>"Operations and Delivery"</f>
        <v>Operations and Delivery</v>
      </c>
      <c r="AB467" s="10" t="str">
        <f>"5oad"</f>
        <v>5oad</v>
      </c>
      <c r="AD467" s="10" t="str">
        <f>"oad01"</f>
        <v>oad01</v>
      </c>
      <c r="AE467" s="10" t="str">
        <f>"Finance &amp; Procurement / Head of Finance &amp; Procurement"</f>
        <v>Finance &amp; Procurement / Head of Finance &amp; Procurement</v>
      </c>
      <c r="AG467" s="10" t="str">
        <f>"25300/1446"</f>
        <v>25300/1446</v>
      </c>
      <c r="AI467" s="10" t="str">
        <f>"14suse"</f>
        <v>14suse</v>
      </c>
      <c r="AJ467" s="15" t="str">
        <f>"Q33940 Reprint of top post signs_x000D_
Delivery to Bodicote House FAO Mike Grant"</f>
        <v>Q33940 Reprint of top post signs_x000D_
Delivery to Bodicote House FAO Mike Grant</v>
      </c>
      <c r="AK467" s="10" t="str">
        <f t="shared" si="304"/>
        <v>Revenue</v>
      </c>
      <c r="AL467" s="10" t="str">
        <f>""</f>
        <v/>
      </c>
      <c r="AM467" s="10" t="str">
        <f>""</f>
        <v/>
      </c>
      <c r="AN467" s="10" t="str">
        <f>""</f>
        <v/>
      </c>
      <c r="AO467" s="10" t="str">
        <f>""</f>
        <v/>
      </c>
    </row>
    <row r="468" spans="1:41" s="10" customFormat="1" ht="409.6">
      <c r="A468" s="9"/>
      <c r="B468" s="9"/>
      <c r="C468" s="9"/>
      <c r="D468" s="10" t="str">
        <f>"31852"</f>
        <v>31852</v>
      </c>
      <c r="E468" s="11" t="str">
        <f>""</f>
        <v/>
      </c>
      <c r="F468" s="11" t="str">
        <f t="shared" si="264"/>
        <v>372418</v>
      </c>
      <c r="G468" s="11" t="str">
        <f t="shared" si="265"/>
        <v>2017toJAN</v>
      </c>
      <c r="H468" s="11" t="str">
        <f t="shared" si="266"/>
        <v>CRSP06B</v>
      </c>
      <c r="I468" s="11" t="str">
        <f t="shared" si="267"/>
        <v>34</v>
      </c>
      <c r="J468" s="11" t="str">
        <f t="shared" si="268"/>
        <v>Creditor</v>
      </c>
      <c r="K468" s="11" t="str">
        <f>"CS002023"</f>
        <v>CS002023</v>
      </c>
      <c r="L468" s="10" t="str">
        <f>"National Energy Foundation"</f>
        <v>National Energy Foundation</v>
      </c>
      <c r="M468" s="12" t="str">
        <f>"27/01/2017 00:00:00"</f>
        <v>27/01/2017 00:00:00</v>
      </c>
      <c r="N468" s="12">
        <v>42762</v>
      </c>
      <c r="O468" s="10" t="str">
        <f>"C008190"</f>
        <v>C008190</v>
      </c>
      <c r="P468" s="13">
        <v>1015.75</v>
      </c>
      <c r="Q468" s="11" t="str">
        <f>"1015.7500"</f>
        <v>1015.7500</v>
      </c>
      <c r="R468" s="10" t="str">
        <f>"C0004616"</f>
        <v>C0004616</v>
      </c>
      <c r="S468" s="14" t="str">
        <f>"1218.9000"</f>
        <v>1218.9000</v>
      </c>
      <c r="T468" s="10">
        <v>25522</v>
      </c>
      <c r="U468" s="10">
        <v>1765</v>
      </c>
      <c r="V468" s="10" t="str">
        <f>"Professional Fees"</f>
        <v>Professional Fees</v>
      </c>
      <c r="W468" s="10" t="str">
        <f>"Third Party Payments"</f>
        <v>Third Party Payments</v>
      </c>
      <c r="X468" s="10" t="str">
        <f>VLOOKUP(U468,'[1]Account code lookup'!A:B,2,0)</f>
        <v>Consultants Fees</v>
      </c>
      <c r="Z468" s="10" t="str">
        <f>"Environmental Services"</f>
        <v>Environmental Services</v>
      </c>
      <c r="AA468" s="10" t="str">
        <f>"Operations and Delivery"</f>
        <v>Operations and Delivery</v>
      </c>
      <c r="AB468" s="10" t="str">
        <f>"5oad"</f>
        <v>5oad</v>
      </c>
      <c r="AD468" s="10" t="str">
        <f>"oad02"</f>
        <v>oad02</v>
      </c>
      <c r="AE468" s="10" t="str">
        <f>"Finance &amp; Procurement / Head of Finance &amp; Procurement"</f>
        <v>Finance &amp; Procurement / Head of Finance &amp; Procurement</v>
      </c>
      <c r="AG468" s="10" t="str">
        <f>"25522/1765"</f>
        <v>25522/1765</v>
      </c>
      <c r="AI468" s="10" t="str">
        <f>"17tpp"</f>
        <v>17tpp</v>
      </c>
      <c r="AJ468" s="15" t="str">
        <f>"Greenhouse Gas Reporting requirements"</f>
        <v>Greenhouse Gas Reporting requirements</v>
      </c>
      <c r="AK468" s="10" t="str">
        <f t="shared" si="304"/>
        <v>Revenue</v>
      </c>
      <c r="AL468" s="10" t="str">
        <f>""</f>
        <v/>
      </c>
      <c r="AM468" s="10" t="str">
        <f>""</f>
        <v/>
      </c>
      <c r="AN468" s="10" t="str">
        <f>""</f>
        <v/>
      </c>
      <c r="AO468" s="10" t="str">
        <f>""</f>
        <v/>
      </c>
    </row>
    <row r="469" spans="1:41" s="10" customFormat="1" ht="409.6">
      <c r="A469" s="9"/>
      <c r="B469" s="9"/>
      <c r="C469" s="9"/>
      <c r="D469" s="10" t="str">
        <f>"31853"</f>
        <v>31853</v>
      </c>
      <c r="E469" s="11" t="str">
        <f>""</f>
        <v/>
      </c>
      <c r="F469" s="11" t="str">
        <f t="shared" si="264"/>
        <v>372418</v>
      </c>
      <c r="G469" s="11" t="str">
        <f t="shared" si="265"/>
        <v>2017toJAN</v>
      </c>
      <c r="H469" s="11" t="str">
        <f t="shared" si="266"/>
        <v>CRSP06B</v>
      </c>
      <c r="I469" s="11" t="str">
        <f t="shared" si="267"/>
        <v>34</v>
      </c>
      <c r="J469" s="11" t="str">
        <f t="shared" si="268"/>
        <v>Creditor</v>
      </c>
      <c r="K469" s="11" t="str">
        <f>"CS002948"</f>
        <v>CS002948</v>
      </c>
      <c r="L469" s="10" t="str">
        <f>"NEPRO Limited"</f>
        <v>NEPRO Limited</v>
      </c>
      <c r="M469" s="12" t="str">
        <f>"11/01/2017 00:00:00"</f>
        <v>11/01/2017 00:00:00</v>
      </c>
      <c r="N469" s="12">
        <v>42746</v>
      </c>
      <c r="O469" s="10" t="str">
        <f>"C007166"</f>
        <v>C007166</v>
      </c>
      <c r="P469" s="13">
        <v>20000</v>
      </c>
      <c r="Q469" s="11" t="str">
        <f>"20000.0000"</f>
        <v>20000.0000</v>
      </c>
      <c r="R469" s="10" t="str">
        <f>"C0004383"</f>
        <v>C0004383</v>
      </c>
      <c r="S469" s="14" t="str">
        <f>"33120.0000"</f>
        <v>33120.0000</v>
      </c>
      <c r="T469" s="10">
        <v>21733</v>
      </c>
      <c r="U469" s="10">
        <v>1136</v>
      </c>
      <c r="V469" s="10" t="str">
        <f t="shared" ref="V469:V479" si="305">"Direct employee exps and bens"</f>
        <v>Direct employee exps and bens</v>
      </c>
      <c r="W469" s="10" t="str">
        <f t="shared" ref="W469:W479" si="306">"Employees"</f>
        <v>Employees</v>
      </c>
      <c r="X469" s="10" t="str">
        <f>VLOOKUP(U469,'[1]Account code lookup'!A:B,2,0)</f>
        <v>Agency Staff</v>
      </c>
      <c r="Z469" s="10" t="str">
        <f>"Information Services"</f>
        <v>Information Services</v>
      </c>
      <c r="AA469" s="10" t="str">
        <f>"Commercial Development"</f>
        <v>Commercial Development</v>
      </c>
      <c r="AB469" s="10" t="str">
        <f>"2cdb"</f>
        <v>2cdb</v>
      </c>
      <c r="AD469" s="10" t="str">
        <f>"cdb04"</f>
        <v>cdb04</v>
      </c>
      <c r="AE469" s="10" t="str">
        <f>"Finance &amp; Procurement / Finance"</f>
        <v>Finance &amp; Procurement / Finance</v>
      </c>
      <c r="AG469" s="10" t="str">
        <f>"21733/1136"</f>
        <v>21733/1136</v>
      </c>
      <c r="AI469" s="10" t="str">
        <f t="shared" ref="AI469:AI479" si="307">"11emps"</f>
        <v>11emps</v>
      </c>
      <c r="AJ469" s="15" t="str">
        <f>"Cherwell District and South Northants Council IT Strategy and Commercial Development Contract_x000D_
_x000D_
Nepro Order No: CSC/2257/11/16/NL_x000D_
_x000D_
Total cost to be spread over 6 monthly payments between October 2016 and March 2017"</f>
        <v>Cherwell District and South Northants Council IT Strategy and Commercial Development Contract_x000D_
_x000D_
Nepro Order No: CSC/2257/11/16/NL_x000D_
_x000D_
Total cost to be spread over 6 monthly payments between October 2016 and March 2017</v>
      </c>
      <c r="AK469" s="10" t="str">
        <f t="shared" si="304"/>
        <v>Revenue</v>
      </c>
      <c r="AL469" s="10" t="str">
        <f>""</f>
        <v/>
      </c>
      <c r="AM469" s="10" t="str">
        <f>""</f>
        <v/>
      </c>
      <c r="AN469" s="10" t="str">
        <f>""</f>
        <v/>
      </c>
      <c r="AO469" s="10" t="str">
        <f>""</f>
        <v/>
      </c>
    </row>
    <row r="470" spans="1:41" s="10" customFormat="1" ht="409.6">
      <c r="A470" s="9"/>
      <c r="B470" s="9"/>
      <c r="C470" s="9"/>
      <c r="D470" s="10" t="str">
        <f>"31854"</f>
        <v>31854</v>
      </c>
      <c r="E470" s="11" t="str">
        <f>""</f>
        <v/>
      </c>
      <c r="F470" s="11" t="str">
        <f t="shared" si="264"/>
        <v>372418</v>
      </c>
      <c r="G470" s="11" t="str">
        <f t="shared" si="265"/>
        <v>2017toJAN</v>
      </c>
      <c r="H470" s="11" t="str">
        <f t="shared" si="266"/>
        <v>CRSP06B</v>
      </c>
      <c r="I470" s="11" t="str">
        <f t="shared" si="267"/>
        <v>34</v>
      </c>
      <c r="J470" s="11" t="str">
        <f t="shared" si="268"/>
        <v>Creditor</v>
      </c>
      <c r="K470" s="11" t="str">
        <f>"CS002948"</f>
        <v>CS002948</v>
      </c>
      <c r="L470" s="10" t="str">
        <f>"NEPRO Limited"</f>
        <v>NEPRO Limited</v>
      </c>
      <c r="M470" s="12" t="str">
        <f>"11/01/2017 00:00:00"</f>
        <v>11/01/2017 00:00:00</v>
      </c>
      <c r="N470" s="12">
        <v>42746</v>
      </c>
      <c r="O470" s="10" t="str">
        <f>"C007167"</f>
        <v>C007167</v>
      </c>
      <c r="P470" s="13">
        <v>7600</v>
      </c>
      <c r="Q470" s="11" t="str">
        <f>"7600.0000"</f>
        <v>7600.0000</v>
      </c>
      <c r="R470" s="10" t="str">
        <f>"C0004383"</f>
        <v>C0004383</v>
      </c>
      <c r="S470" s="14" t="str">
        <f>"33120.0000"</f>
        <v>33120.0000</v>
      </c>
      <c r="T470" s="10">
        <v>21733</v>
      </c>
      <c r="U470" s="10">
        <v>1136</v>
      </c>
      <c r="V470" s="10" t="str">
        <f t="shared" si="305"/>
        <v>Direct employee exps and bens</v>
      </c>
      <c r="W470" s="10" t="str">
        <f t="shared" si="306"/>
        <v>Employees</v>
      </c>
      <c r="X470" s="10" t="str">
        <f>VLOOKUP(U470,'[1]Account code lookup'!A:B,2,0)</f>
        <v>Agency Staff</v>
      </c>
      <c r="Z470" s="10" t="str">
        <f>"Information Services"</f>
        <v>Information Services</v>
      </c>
      <c r="AA470" s="10" t="str">
        <f>"Commercial Development"</f>
        <v>Commercial Development</v>
      </c>
      <c r="AB470" s="10" t="str">
        <f>"2cdb"</f>
        <v>2cdb</v>
      </c>
      <c r="AD470" s="10" t="str">
        <f>"cdb04"</f>
        <v>cdb04</v>
      </c>
      <c r="AE470" s="10" t="str">
        <f>"Finance &amp; Procurement / Finance"</f>
        <v>Finance &amp; Procurement / Finance</v>
      </c>
      <c r="AG470" s="10" t="str">
        <f>"21733/1136"</f>
        <v>21733/1136</v>
      </c>
      <c r="AI470" s="10" t="str">
        <f t="shared" si="307"/>
        <v>11emps</v>
      </c>
      <c r="AJ470" s="15" t="str">
        <f>"Specialist Professional Services provided by Sheila Jakhu regarding Website Procurement (Project Management Resource) and Graven Hill Village Development Company (GHVDC) from 17 October 2016 to 23 December 2016._x000D_
_x000D_
IT Engagement, Support and Project Resou"</f>
        <v>Specialist Professional Services provided by Sheila Jakhu regarding Website Procurement (Project Management Resource) and Graven Hill Village Development Company (GHVDC) from 17 October 2016 to 23 December 2016._x000D_
_x000D_
IT Engagement, Support and Project Resou</v>
      </c>
      <c r="AK470" s="10" t="str">
        <f t="shared" si="304"/>
        <v>Revenue</v>
      </c>
      <c r="AL470" s="10" t="str">
        <f>""</f>
        <v/>
      </c>
      <c r="AM470" s="10" t="str">
        <f>""</f>
        <v/>
      </c>
      <c r="AN470" s="10" t="str">
        <f>""</f>
        <v/>
      </c>
      <c r="AO470" s="10" t="str">
        <f>""</f>
        <v/>
      </c>
    </row>
    <row r="471" spans="1:41" s="10" customFormat="1" ht="409.6">
      <c r="A471" s="9"/>
      <c r="B471" s="9"/>
      <c r="C471" s="9"/>
      <c r="D471" s="10" t="str">
        <f>"31855"</f>
        <v>31855</v>
      </c>
      <c r="E471" s="11" t="str">
        <f>""</f>
        <v/>
      </c>
      <c r="F471" s="11" t="str">
        <f t="shared" si="264"/>
        <v>372418</v>
      </c>
      <c r="G471" s="11" t="str">
        <f t="shared" si="265"/>
        <v>2017toJAN</v>
      </c>
      <c r="H471" s="11" t="str">
        <f t="shared" si="266"/>
        <v>CRSP06B</v>
      </c>
      <c r="I471" s="11" t="str">
        <f t="shared" si="267"/>
        <v>34</v>
      </c>
      <c r="J471" s="11" t="str">
        <f t="shared" si="268"/>
        <v>Creditor</v>
      </c>
      <c r="K471" s="11" t="str">
        <f>"CS002948"</f>
        <v>CS002948</v>
      </c>
      <c r="L471" s="10" t="str">
        <f>"NEPRO Limited"</f>
        <v>NEPRO Limited</v>
      </c>
      <c r="M471" s="12" t="str">
        <f>"23/01/2017 00:00:00"</f>
        <v>23/01/2017 00:00:00</v>
      </c>
      <c r="N471" s="12">
        <v>42758</v>
      </c>
      <c r="O471" s="10" t="str">
        <f>"C008071"</f>
        <v>C008071</v>
      </c>
      <c r="P471" s="13">
        <v>18000</v>
      </c>
      <c r="Q471" s="11" t="str">
        <f>"18000.0000"</f>
        <v>18000.0000</v>
      </c>
      <c r="R471" s="10" t="str">
        <f>"C0004548"</f>
        <v>C0004548</v>
      </c>
      <c r="S471" s="14" t="str">
        <f>"21600.0000"</f>
        <v>21600.0000</v>
      </c>
      <c r="T471" s="10">
        <v>21733</v>
      </c>
      <c r="U471" s="10">
        <v>1136</v>
      </c>
      <c r="V471" s="10" t="str">
        <f t="shared" si="305"/>
        <v>Direct employee exps and bens</v>
      </c>
      <c r="W471" s="10" t="str">
        <f t="shared" si="306"/>
        <v>Employees</v>
      </c>
      <c r="X471" s="10" t="str">
        <f>VLOOKUP(U471,'[1]Account code lookup'!A:B,2,0)</f>
        <v>Agency Staff</v>
      </c>
      <c r="Z471" s="10" t="str">
        <f>"Information Services"</f>
        <v>Information Services</v>
      </c>
      <c r="AA471" s="10" t="str">
        <f>"Commercial Development"</f>
        <v>Commercial Development</v>
      </c>
      <c r="AB471" s="10" t="str">
        <f>"2cdb"</f>
        <v>2cdb</v>
      </c>
      <c r="AD471" s="10" t="str">
        <f>"cdb04"</f>
        <v>cdb04</v>
      </c>
      <c r="AE471" s="10" t="str">
        <f>"Finance &amp; Procurement / Finance"</f>
        <v>Finance &amp; Procurement / Finance</v>
      </c>
      <c r="AG471" s="10" t="str">
        <f>"21733/1136"</f>
        <v>21733/1136</v>
      </c>
      <c r="AI471" s="10" t="str">
        <f t="shared" si="307"/>
        <v>11emps</v>
      </c>
      <c r="AJ471" s="15" t="str">
        <f>"Cherwell District and South Northants Council IT Strategy and Commercial Development Contract_x000D_
_x000D_
Nepro Order No: CSC/2257/11/16/NL_x000D_
_x000D_
Total cost to be spread over 6 monthly payments between October 2016 and March 2017"</f>
        <v>Cherwell District and South Northants Council IT Strategy and Commercial Development Contract_x000D_
_x000D_
Nepro Order No: CSC/2257/11/16/NL_x000D_
_x000D_
Total cost to be spread over 6 monthly payments between October 2016 and March 2017</v>
      </c>
      <c r="AK471" s="10" t="str">
        <f t="shared" si="304"/>
        <v>Revenue</v>
      </c>
      <c r="AL471" s="10" t="str">
        <f>""</f>
        <v/>
      </c>
      <c r="AM471" s="10" t="str">
        <f>""</f>
        <v/>
      </c>
      <c r="AN471" s="10" t="str">
        <f>""</f>
        <v/>
      </c>
      <c r="AO471" s="10" t="str">
        <f>""</f>
        <v/>
      </c>
    </row>
    <row r="472" spans="1:41" s="10" customFormat="1" ht="409.6">
      <c r="A472" s="9"/>
      <c r="B472" s="9"/>
      <c r="C472" s="9"/>
      <c r="D472" s="10" t="str">
        <f>"31856"</f>
        <v>31856</v>
      </c>
      <c r="E472" s="11" t="str">
        <f>""</f>
        <v/>
      </c>
      <c r="F472" s="11" t="str">
        <f t="shared" si="264"/>
        <v>372418</v>
      </c>
      <c r="G472" s="11" t="str">
        <f t="shared" si="265"/>
        <v>2017toJAN</v>
      </c>
      <c r="H472" s="11" t="str">
        <f t="shared" si="266"/>
        <v>CRSP06B</v>
      </c>
      <c r="I472" s="11" t="str">
        <f t="shared" si="267"/>
        <v>34</v>
      </c>
      <c r="J472" s="11" t="str">
        <f t="shared" si="268"/>
        <v>Creditor</v>
      </c>
      <c r="K472" s="11" t="str">
        <f>"CS002948"</f>
        <v>CS002948</v>
      </c>
      <c r="L472" s="10" t="str">
        <f>"NEPRO Limited"</f>
        <v>NEPRO Limited</v>
      </c>
      <c r="M472" s="12" t="str">
        <f>"25/01/2017 00:00:00"</f>
        <v>25/01/2017 00:00:00</v>
      </c>
      <c r="N472" s="12">
        <v>42760</v>
      </c>
      <c r="O472" s="10" t="str">
        <f>"C008076"</f>
        <v>C008076</v>
      </c>
      <c r="P472" s="13">
        <v>3562.5</v>
      </c>
      <c r="Q472" s="11" t="str">
        <f>"3562.5000"</f>
        <v>3562.5000</v>
      </c>
      <c r="R472" s="10" t="str">
        <f>"C0004572"</f>
        <v>C0004572</v>
      </c>
      <c r="S472" s="14" t="str">
        <f>"4275.0000"</f>
        <v>4275.0000</v>
      </c>
      <c r="T472" s="10">
        <v>21733</v>
      </c>
      <c r="U472" s="10">
        <v>1136</v>
      </c>
      <c r="V472" s="10" t="str">
        <f t="shared" si="305"/>
        <v>Direct employee exps and bens</v>
      </c>
      <c r="W472" s="10" t="str">
        <f t="shared" si="306"/>
        <v>Employees</v>
      </c>
      <c r="X472" s="10" t="str">
        <f>VLOOKUP(U472,'[1]Account code lookup'!A:B,2,0)</f>
        <v>Agency Staff</v>
      </c>
      <c r="Z472" s="10" t="str">
        <f>"Information Services"</f>
        <v>Information Services</v>
      </c>
      <c r="AA472" s="10" t="str">
        <f>"Commercial Development"</f>
        <v>Commercial Development</v>
      </c>
      <c r="AB472" s="10" t="str">
        <f>"2cdb"</f>
        <v>2cdb</v>
      </c>
      <c r="AD472" s="10" t="str">
        <f>"cdb04"</f>
        <v>cdb04</v>
      </c>
      <c r="AE472" s="10" t="str">
        <f>"Finance &amp; Procurement / Finance"</f>
        <v>Finance &amp; Procurement / Finance</v>
      </c>
      <c r="AG472" s="10" t="str">
        <f>"21733/1136"</f>
        <v>21733/1136</v>
      </c>
      <c r="AI472" s="10" t="str">
        <f t="shared" si="307"/>
        <v>11emps</v>
      </c>
      <c r="AJ472" s="15" t="str">
        <f>"Specialist Professional Services provided by Sheila Jakhu regarding Website Procurement (Project Management Resource) and Graven Hill Village Development Company (GHVDC) from 17 October 2016 to 23 December 2016._x000D_
_x000D_
IT Engagement, Support and Project Resou"</f>
        <v>Specialist Professional Services provided by Sheila Jakhu regarding Website Procurement (Project Management Resource) and Graven Hill Village Development Company (GHVDC) from 17 October 2016 to 23 December 2016._x000D_
_x000D_
IT Engagement, Support and Project Resou</v>
      </c>
      <c r="AK472" s="10" t="str">
        <f t="shared" si="304"/>
        <v>Revenue</v>
      </c>
      <c r="AL472" s="10" t="str">
        <f>""</f>
        <v/>
      </c>
      <c r="AM472" s="10" t="str">
        <f>""</f>
        <v/>
      </c>
      <c r="AN472" s="10" t="str">
        <f>""</f>
        <v/>
      </c>
      <c r="AO472" s="10" t="str">
        <f>""</f>
        <v/>
      </c>
    </row>
    <row r="473" spans="1:41" s="10" customFormat="1" ht="409.6">
      <c r="A473" s="9"/>
      <c r="B473" s="9"/>
      <c r="C473" s="9"/>
      <c r="D473" s="10" t="str">
        <f>"31857"</f>
        <v>31857</v>
      </c>
      <c r="E473" s="11" t="str">
        <f>""</f>
        <v/>
      </c>
      <c r="F473" s="11" t="str">
        <f t="shared" si="264"/>
        <v>372418</v>
      </c>
      <c r="G473" s="11" t="str">
        <f t="shared" si="265"/>
        <v>2017toJAN</v>
      </c>
      <c r="H473" s="11" t="str">
        <f t="shared" si="266"/>
        <v>CRSP06B</v>
      </c>
      <c r="I473" s="11" t="str">
        <f t="shared" si="267"/>
        <v>34</v>
      </c>
      <c r="J473" s="11" t="str">
        <f t="shared" si="268"/>
        <v>Creditor</v>
      </c>
      <c r="K473" s="11" t="str">
        <f t="shared" ref="K473:K479" si="308">"CS001961"</f>
        <v>CS001961</v>
      </c>
      <c r="L473" s="10" t="str">
        <f t="shared" ref="L473:L479" si="309">"New Recruits Professional Services Ltd"</f>
        <v>New Recruits Professional Services Ltd</v>
      </c>
      <c r="M473" s="12" t="str">
        <f>"04/01/2017 00:00:00"</f>
        <v>04/01/2017 00:00:00</v>
      </c>
      <c r="N473" s="12">
        <v>42739</v>
      </c>
      <c r="O473" s="10" t="str">
        <f>"C007535"</f>
        <v>C007535</v>
      </c>
      <c r="P473" s="13">
        <v>2749.44</v>
      </c>
      <c r="Q473" s="11" t="str">
        <f>"2749.4400"</f>
        <v>2749.4400</v>
      </c>
      <c r="R473" s="10" t="str">
        <f>"C0004271"</f>
        <v>C0004271</v>
      </c>
      <c r="S473" s="14" t="str">
        <f>"7951.5400"</f>
        <v>7951.5400</v>
      </c>
      <c r="T473" s="10">
        <v>25801</v>
      </c>
      <c r="U473" s="10">
        <v>1136</v>
      </c>
      <c r="V473" s="10" t="str">
        <f t="shared" si="305"/>
        <v>Direct employee exps and bens</v>
      </c>
      <c r="W473" s="10" t="str">
        <f t="shared" si="306"/>
        <v>Employees</v>
      </c>
      <c r="X473" s="10" t="str">
        <f>VLOOKUP(U473,'[1]Account code lookup'!A:B,2,0)</f>
        <v>Agency Staff</v>
      </c>
      <c r="Z473" s="10" t="str">
        <f t="shared" ref="Z473:Z479" si="310">"Environmental Services"</f>
        <v>Environmental Services</v>
      </c>
      <c r="AA473" s="10" t="str">
        <f t="shared" ref="AA473:AA481" si="311">"Operations and Delivery"</f>
        <v>Operations and Delivery</v>
      </c>
      <c r="AB473" s="10" t="str">
        <f t="shared" ref="AB473:AB481" si="312">"5oad"</f>
        <v>5oad</v>
      </c>
      <c r="AD473" s="10" t="str">
        <f t="shared" ref="AD473:AD479" si="313">"oad02"</f>
        <v>oad02</v>
      </c>
      <c r="AE473" s="10" t="str">
        <f t="shared" ref="AE473:AE479" si="314">"Environmental Services / Environmental Services Admin"</f>
        <v>Environmental Services / Environmental Services Admin</v>
      </c>
      <c r="AG473" s="10" t="str">
        <f t="shared" ref="AG473:AG479" si="315">"25801/1136"</f>
        <v>25801/1136</v>
      </c>
      <c r="AI473" s="10" t="str">
        <f t="shared" si="307"/>
        <v>11emps</v>
      </c>
      <c r="AJ473" s="15" t="str">
        <f>"Agency Staff W/C 12/12/16"</f>
        <v>Agency Staff W/C 12/12/16</v>
      </c>
      <c r="AK473" s="10" t="str">
        <f t="shared" si="304"/>
        <v>Revenue</v>
      </c>
      <c r="AL473" s="10" t="str">
        <f>""</f>
        <v/>
      </c>
      <c r="AM473" s="10" t="str">
        <f>""</f>
        <v/>
      </c>
      <c r="AN473" s="10" t="str">
        <f>""</f>
        <v/>
      </c>
      <c r="AO473" s="10" t="str">
        <f>""</f>
        <v/>
      </c>
    </row>
    <row r="474" spans="1:41" s="10" customFormat="1" ht="409.6">
      <c r="A474" s="9"/>
      <c r="B474" s="9"/>
      <c r="C474" s="9"/>
      <c r="D474" s="10" t="str">
        <f>"31858"</f>
        <v>31858</v>
      </c>
      <c r="E474" s="11" t="str">
        <f>""</f>
        <v/>
      </c>
      <c r="F474" s="11" t="str">
        <f t="shared" si="264"/>
        <v>372418</v>
      </c>
      <c r="G474" s="11" t="str">
        <f t="shared" si="265"/>
        <v>2017toJAN</v>
      </c>
      <c r="H474" s="11" t="str">
        <f t="shared" si="266"/>
        <v>CRSP06B</v>
      </c>
      <c r="I474" s="11" t="str">
        <f t="shared" si="267"/>
        <v>34</v>
      </c>
      <c r="J474" s="11" t="str">
        <f t="shared" si="268"/>
        <v>Creditor</v>
      </c>
      <c r="K474" s="11" t="str">
        <f t="shared" si="308"/>
        <v>CS001961</v>
      </c>
      <c r="L474" s="10" t="str">
        <f t="shared" si="309"/>
        <v>New Recruits Professional Services Ltd</v>
      </c>
      <c r="M474" s="12" t="str">
        <f>"04/01/2017 00:00:00"</f>
        <v>04/01/2017 00:00:00</v>
      </c>
      <c r="N474" s="12">
        <v>42739</v>
      </c>
      <c r="O474" s="10" t="str">
        <f>"C007524"</f>
        <v>C007524</v>
      </c>
      <c r="P474" s="13">
        <v>2748.34</v>
      </c>
      <c r="Q474" s="11" t="str">
        <f>"2748.3400"</f>
        <v>2748.3400</v>
      </c>
      <c r="R474" s="10" t="str">
        <f>"C0004271"</f>
        <v>C0004271</v>
      </c>
      <c r="S474" s="14" t="str">
        <f>"7951.5400"</f>
        <v>7951.5400</v>
      </c>
      <c r="T474" s="10">
        <v>25801</v>
      </c>
      <c r="U474" s="10">
        <v>1136</v>
      </c>
      <c r="V474" s="10" t="str">
        <f t="shared" si="305"/>
        <v>Direct employee exps and bens</v>
      </c>
      <c r="W474" s="10" t="str">
        <f t="shared" si="306"/>
        <v>Employees</v>
      </c>
      <c r="X474" s="10" t="str">
        <f>VLOOKUP(U474,'[1]Account code lookup'!A:B,2,0)</f>
        <v>Agency Staff</v>
      </c>
      <c r="Z474" s="10" t="str">
        <f t="shared" si="310"/>
        <v>Environmental Services</v>
      </c>
      <c r="AA474" s="10" t="str">
        <f t="shared" si="311"/>
        <v>Operations and Delivery</v>
      </c>
      <c r="AB474" s="10" t="str">
        <f t="shared" si="312"/>
        <v>5oad</v>
      </c>
      <c r="AD474" s="10" t="str">
        <f t="shared" si="313"/>
        <v>oad02</v>
      </c>
      <c r="AE474" s="10" t="str">
        <f t="shared" si="314"/>
        <v>Environmental Services / Environmental Services Admin</v>
      </c>
      <c r="AG474" s="10" t="str">
        <f t="shared" si="315"/>
        <v>25801/1136</v>
      </c>
      <c r="AI474" s="10" t="str">
        <f t="shared" si="307"/>
        <v>11emps</v>
      </c>
      <c r="AJ474" s="15" t="str">
        <f>"Agency Staff W/C 19/12/16"</f>
        <v>Agency Staff W/C 19/12/16</v>
      </c>
      <c r="AK474" s="10" t="str">
        <f t="shared" si="304"/>
        <v>Revenue</v>
      </c>
      <c r="AL474" s="10" t="str">
        <f>""</f>
        <v/>
      </c>
      <c r="AM474" s="10" t="str">
        <f>""</f>
        <v/>
      </c>
      <c r="AN474" s="10" t="str">
        <f>""</f>
        <v/>
      </c>
      <c r="AO474" s="10" t="str">
        <f>""</f>
        <v/>
      </c>
    </row>
    <row r="475" spans="1:41" s="10" customFormat="1" ht="409.6">
      <c r="A475" s="9"/>
      <c r="B475" s="9"/>
      <c r="C475" s="9"/>
      <c r="D475" s="10" t="str">
        <f>"31859"</f>
        <v>31859</v>
      </c>
      <c r="E475" s="11" t="str">
        <f>""</f>
        <v/>
      </c>
      <c r="F475" s="11" t="str">
        <f t="shared" si="264"/>
        <v>372418</v>
      </c>
      <c r="G475" s="11" t="str">
        <f t="shared" si="265"/>
        <v>2017toJAN</v>
      </c>
      <c r="H475" s="11" t="str">
        <f t="shared" si="266"/>
        <v>CRSP06B</v>
      </c>
      <c r="I475" s="11" t="str">
        <f t="shared" si="267"/>
        <v>34</v>
      </c>
      <c r="J475" s="11" t="str">
        <f t="shared" si="268"/>
        <v>Creditor</v>
      </c>
      <c r="K475" s="11" t="str">
        <f t="shared" si="308"/>
        <v>CS001961</v>
      </c>
      <c r="L475" s="10" t="str">
        <f t="shared" si="309"/>
        <v>New Recruits Professional Services Ltd</v>
      </c>
      <c r="M475" s="12" t="str">
        <f>"04/01/2017 00:00:00"</f>
        <v>04/01/2017 00:00:00</v>
      </c>
      <c r="N475" s="12">
        <v>42739</v>
      </c>
      <c r="O475" s="10" t="str">
        <f>"C007525"</f>
        <v>C007525</v>
      </c>
      <c r="P475" s="13">
        <v>564.25</v>
      </c>
      <c r="Q475" s="11" t="str">
        <f>"564.2500"</f>
        <v>564.2500</v>
      </c>
      <c r="R475" s="10" t="str">
        <f>"C0004271"</f>
        <v>C0004271</v>
      </c>
      <c r="S475" s="14" t="str">
        <f>"7951.5400"</f>
        <v>7951.5400</v>
      </c>
      <c r="T475" s="10">
        <v>25801</v>
      </c>
      <c r="U475" s="10">
        <v>1136</v>
      </c>
      <c r="V475" s="10" t="str">
        <f t="shared" si="305"/>
        <v>Direct employee exps and bens</v>
      </c>
      <c r="W475" s="10" t="str">
        <f t="shared" si="306"/>
        <v>Employees</v>
      </c>
      <c r="X475" s="10" t="str">
        <f>VLOOKUP(U475,'[1]Account code lookup'!A:B,2,0)</f>
        <v>Agency Staff</v>
      </c>
      <c r="Z475" s="10" t="str">
        <f t="shared" si="310"/>
        <v>Environmental Services</v>
      </c>
      <c r="AA475" s="10" t="str">
        <f t="shared" si="311"/>
        <v>Operations and Delivery</v>
      </c>
      <c r="AB475" s="10" t="str">
        <f t="shared" si="312"/>
        <v>5oad</v>
      </c>
      <c r="AD475" s="10" t="str">
        <f t="shared" si="313"/>
        <v>oad02</v>
      </c>
      <c r="AE475" s="10" t="str">
        <f t="shared" si="314"/>
        <v>Environmental Services / Environmental Services Admin</v>
      </c>
      <c r="AG475" s="10" t="str">
        <f t="shared" si="315"/>
        <v>25801/1136</v>
      </c>
      <c r="AI475" s="10" t="str">
        <f t="shared" si="307"/>
        <v>11emps</v>
      </c>
      <c r="AJ475" s="15" t="str">
        <f>"Agency Staff W/C 19/12/16"</f>
        <v>Agency Staff W/C 19/12/16</v>
      </c>
      <c r="AK475" s="10" t="str">
        <f t="shared" si="304"/>
        <v>Revenue</v>
      </c>
      <c r="AL475" s="10" t="str">
        <f>""</f>
        <v/>
      </c>
      <c r="AM475" s="10" t="str">
        <f>""</f>
        <v/>
      </c>
      <c r="AN475" s="10" t="str">
        <f>""</f>
        <v/>
      </c>
      <c r="AO475" s="10" t="str">
        <f>""</f>
        <v/>
      </c>
    </row>
    <row r="476" spans="1:41" s="10" customFormat="1" ht="409.6">
      <c r="A476" s="9"/>
      <c r="B476" s="9"/>
      <c r="C476" s="9"/>
      <c r="D476" s="10" t="str">
        <f>"31860"</f>
        <v>31860</v>
      </c>
      <c r="E476" s="11" t="str">
        <f>""</f>
        <v/>
      </c>
      <c r="F476" s="11" t="str">
        <f t="shared" si="264"/>
        <v>372418</v>
      </c>
      <c r="G476" s="11" t="str">
        <f t="shared" si="265"/>
        <v>2017toJAN</v>
      </c>
      <c r="H476" s="11" t="str">
        <f t="shared" si="266"/>
        <v>CRSP06B</v>
      </c>
      <c r="I476" s="11" t="str">
        <f t="shared" si="267"/>
        <v>34</v>
      </c>
      <c r="J476" s="11" t="str">
        <f t="shared" si="268"/>
        <v>Creditor</v>
      </c>
      <c r="K476" s="11" t="str">
        <f t="shared" si="308"/>
        <v>CS001961</v>
      </c>
      <c r="L476" s="10" t="str">
        <f t="shared" si="309"/>
        <v>New Recruits Professional Services Ltd</v>
      </c>
      <c r="M476" s="12" t="str">
        <f>"04/01/2017 00:00:00"</f>
        <v>04/01/2017 00:00:00</v>
      </c>
      <c r="N476" s="12">
        <v>42739</v>
      </c>
      <c r="O476" s="10" t="str">
        <f>"C007526"</f>
        <v>C007526</v>
      </c>
      <c r="P476" s="13">
        <v>564.25</v>
      </c>
      <c r="Q476" s="11" t="str">
        <f>"564.2500"</f>
        <v>564.2500</v>
      </c>
      <c r="R476" s="10" t="str">
        <f>"C0004271"</f>
        <v>C0004271</v>
      </c>
      <c r="S476" s="14" t="str">
        <f>"7951.5400"</f>
        <v>7951.5400</v>
      </c>
      <c r="T476" s="10">
        <v>25801</v>
      </c>
      <c r="U476" s="10">
        <v>1136</v>
      </c>
      <c r="V476" s="10" t="str">
        <f t="shared" si="305"/>
        <v>Direct employee exps and bens</v>
      </c>
      <c r="W476" s="10" t="str">
        <f t="shared" si="306"/>
        <v>Employees</v>
      </c>
      <c r="X476" s="10" t="str">
        <f>VLOOKUP(U476,'[1]Account code lookup'!A:B,2,0)</f>
        <v>Agency Staff</v>
      </c>
      <c r="Z476" s="10" t="str">
        <f t="shared" si="310"/>
        <v>Environmental Services</v>
      </c>
      <c r="AA476" s="10" t="str">
        <f t="shared" si="311"/>
        <v>Operations and Delivery</v>
      </c>
      <c r="AB476" s="10" t="str">
        <f t="shared" si="312"/>
        <v>5oad</v>
      </c>
      <c r="AD476" s="10" t="str">
        <f t="shared" si="313"/>
        <v>oad02</v>
      </c>
      <c r="AE476" s="10" t="str">
        <f t="shared" si="314"/>
        <v>Environmental Services / Environmental Services Admin</v>
      </c>
      <c r="AG476" s="10" t="str">
        <f t="shared" si="315"/>
        <v>25801/1136</v>
      </c>
      <c r="AI476" s="10" t="str">
        <f t="shared" si="307"/>
        <v>11emps</v>
      </c>
      <c r="AJ476" s="15" t="str">
        <f>"Agency Staff W/C 19/12/16"</f>
        <v>Agency Staff W/C 19/12/16</v>
      </c>
      <c r="AK476" s="10" t="str">
        <f t="shared" si="304"/>
        <v>Revenue</v>
      </c>
      <c r="AL476" s="10" t="str">
        <f>""</f>
        <v/>
      </c>
      <c r="AM476" s="10" t="str">
        <f>""</f>
        <v/>
      </c>
      <c r="AN476" s="10" t="str">
        <f>""</f>
        <v/>
      </c>
      <c r="AO476" s="10" t="str">
        <f>""</f>
        <v/>
      </c>
    </row>
    <row r="477" spans="1:41" s="10" customFormat="1" ht="409.6">
      <c r="A477" s="9"/>
      <c r="B477" s="9"/>
      <c r="C477" s="9"/>
      <c r="D477" s="10" t="str">
        <f>"31861"</f>
        <v>31861</v>
      </c>
      <c r="E477" s="11" t="str">
        <f>""</f>
        <v/>
      </c>
      <c r="F477" s="11" t="str">
        <f t="shared" si="264"/>
        <v>372418</v>
      </c>
      <c r="G477" s="11" t="str">
        <f t="shared" si="265"/>
        <v>2017toJAN</v>
      </c>
      <c r="H477" s="11" t="str">
        <f t="shared" si="266"/>
        <v>CRSP06B</v>
      </c>
      <c r="I477" s="11" t="str">
        <f t="shared" si="267"/>
        <v>34</v>
      </c>
      <c r="J477" s="11" t="str">
        <f t="shared" si="268"/>
        <v>Creditor</v>
      </c>
      <c r="K477" s="11" t="str">
        <f t="shared" si="308"/>
        <v>CS001961</v>
      </c>
      <c r="L477" s="10" t="str">
        <f t="shared" si="309"/>
        <v>New Recruits Professional Services Ltd</v>
      </c>
      <c r="M477" s="12" t="str">
        <f>"11/01/2017 00:00:00"</f>
        <v>11/01/2017 00:00:00</v>
      </c>
      <c r="N477" s="12">
        <v>42746</v>
      </c>
      <c r="O477" s="10" t="str">
        <f>"C007801"</f>
        <v>C007801</v>
      </c>
      <c r="P477" s="13">
        <v>5375.52</v>
      </c>
      <c r="Q477" s="11" t="str">
        <f>"5375.5200"</f>
        <v>5375.5200</v>
      </c>
      <c r="R477" s="10" t="str">
        <f>"C0004372"</f>
        <v>C0004372</v>
      </c>
      <c r="S477" s="14" t="str">
        <f>"6450.6200"</f>
        <v>6450.6200</v>
      </c>
      <c r="T477" s="10">
        <v>25801</v>
      </c>
      <c r="U477" s="10">
        <v>1136</v>
      </c>
      <c r="V477" s="10" t="str">
        <f t="shared" si="305"/>
        <v>Direct employee exps and bens</v>
      </c>
      <c r="W477" s="10" t="str">
        <f t="shared" si="306"/>
        <v>Employees</v>
      </c>
      <c r="X477" s="10" t="str">
        <f>VLOOKUP(U477,'[1]Account code lookup'!A:B,2,0)</f>
        <v>Agency Staff</v>
      </c>
      <c r="Z477" s="10" t="str">
        <f t="shared" si="310"/>
        <v>Environmental Services</v>
      </c>
      <c r="AA477" s="10" t="str">
        <f t="shared" si="311"/>
        <v>Operations and Delivery</v>
      </c>
      <c r="AB477" s="10" t="str">
        <f t="shared" si="312"/>
        <v>5oad</v>
      </c>
      <c r="AD477" s="10" t="str">
        <f t="shared" si="313"/>
        <v>oad02</v>
      </c>
      <c r="AE477" s="10" t="str">
        <f t="shared" si="314"/>
        <v>Environmental Services / Environmental Services Admin</v>
      </c>
      <c r="AG477" s="10" t="str">
        <f t="shared" si="315"/>
        <v>25801/1136</v>
      </c>
      <c r="AI477" s="10" t="str">
        <f t="shared" si="307"/>
        <v>11emps</v>
      </c>
      <c r="AJ477" s="15" t="str">
        <f>"Agency Staff W/C 26/12/16"</f>
        <v>Agency Staff W/C 26/12/16</v>
      </c>
      <c r="AK477" s="10" t="str">
        <f t="shared" si="304"/>
        <v>Revenue</v>
      </c>
      <c r="AL477" s="10" t="str">
        <f>""</f>
        <v/>
      </c>
      <c r="AM477" s="10" t="str">
        <f>""</f>
        <v/>
      </c>
      <c r="AN477" s="10" t="str">
        <f>""</f>
        <v/>
      </c>
      <c r="AO477" s="10" t="str">
        <f>""</f>
        <v/>
      </c>
    </row>
    <row r="478" spans="1:41" s="10" customFormat="1" ht="409.6">
      <c r="A478" s="9"/>
      <c r="B478" s="9"/>
      <c r="C478" s="9"/>
      <c r="D478" s="10" t="str">
        <f>"31862"</f>
        <v>31862</v>
      </c>
      <c r="E478" s="11" t="str">
        <f>""</f>
        <v/>
      </c>
      <c r="F478" s="11" t="str">
        <f t="shared" si="264"/>
        <v>372418</v>
      </c>
      <c r="G478" s="11" t="str">
        <f t="shared" si="265"/>
        <v>2017toJAN</v>
      </c>
      <c r="H478" s="11" t="str">
        <f t="shared" si="266"/>
        <v>CRSP06B</v>
      </c>
      <c r="I478" s="11" t="str">
        <f t="shared" si="267"/>
        <v>34</v>
      </c>
      <c r="J478" s="11" t="str">
        <f t="shared" si="268"/>
        <v>Creditor</v>
      </c>
      <c r="K478" s="11" t="str">
        <f t="shared" si="308"/>
        <v>CS001961</v>
      </c>
      <c r="L478" s="10" t="str">
        <f t="shared" si="309"/>
        <v>New Recruits Professional Services Ltd</v>
      </c>
      <c r="M478" s="12" t="str">
        <f>"23/01/2017 00:00:00"</f>
        <v>23/01/2017 00:00:00</v>
      </c>
      <c r="N478" s="12">
        <v>42758</v>
      </c>
      <c r="O478" s="10" t="str">
        <f>"C007977"</f>
        <v>C007977</v>
      </c>
      <c r="P478" s="13">
        <v>3304.66</v>
      </c>
      <c r="Q478" s="11" t="str">
        <f>"3304.6600"</f>
        <v>3304.6600</v>
      </c>
      <c r="R478" s="10" t="str">
        <f>"C0004539"</f>
        <v>C0004539</v>
      </c>
      <c r="S478" s="14" t="str">
        <f>"8277.7200"</f>
        <v>8277.7200</v>
      </c>
      <c r="T478" s="10">
        <v>25801</v>
      </c>
      <c r="U478" s="10">
        <v>1136</v>
      </c>
      <c r="V478" s="10" t="str">
        <f t="shared" si="305"/>
        <v>Direct employee exps and bens</v>
      </c>
      <c r="W478" s="10" t="str">
        <f t="shared" si="306"/>
        <v>Employees</v>
      </c>
      <c r="X478" s="10" t="str">
        <f>VLOOKUP(U478,'[1]Account code lookup'!A:B,2,0)</f>
        <v>Agency Staff</v>
      </c>
      <c r="Z478" s="10" t="str">
        <f t="shared" si="310"/>
        <v>Environmental Services</v>
      </c>
      <c r="AA478" s="10" t="str">
        <f t="shared" si="311"/>
        <v>Operations and Delivery</v>
      </c>
      <c r="AB478" s="10" t="str">
        <f t="shared" si="312"/>
        <v>5oad</v>
      </c>
      <c r="AD478" s="10" t="str">
        <f t="shared" si="313"/>
        <v>oad02</v>
      </c>
      <c r="AE478" s="10" t="str">
        <f t="shared" si="314"/>
        <v>Environmental Services / Environmental Services Admin</v>
      </c>
      <c r="AG478" s="10" t="str">
        <f t="shared" si="315"/>
        <v>25801/1136</v>
      </c>
      <c r="AI478" s="10" t="str">
        <f t="shared" si="307"/>
        <v>11emps</v>
      </c>
      <c r="AJ478" s="15" t="str">
        <f>"Agency Staff W/C 02/01/17"</f>
        <v>Agency Staff W/C 02/01/17</v>
      </c>
      <c r="AK478" s="10" t="str">
        <f t="shared" si="304"/>
        <v>Revenue</v>
      </c>
      <c r="AL478" s="10" t="str">
        <f>""</f>
        <v/>
      </c>
      <c r="AM478" s="10" t="str">
        <f>""</f>
        <v/>
      </c>
      <c r="AN478" s="10" t="str">
        <f>""</f>
        <v/>
      </c>
      <c r="AO478" s="10" t="str">
        <f>""</f>
        <v/>
      </c>
    </row>
    <row r="479" spans="1:41" s="10" customFormat="1" ht="409.6">
      <c r="A479" s="9"/>
      <c r="B479" s="9"/>
      <c r="C479" s="9"/>
      <c r="D479" s="10" t="str">
        <f>"31863"</f>
        <v>31863</v>
      </c>
      <c r="E479" s="11" t="str">
        <f>""</f>
        <v/>
      </c>
      <c r="F479" s="11" t="str">
        <f t="shared" ref="F479:F520" si="316">"372418"</f>
        <v>372418</v>
      </c>
      <c r="G479" s="11" t="str">
        <f t="shared" ref="G479:G520" si="317">"2017toJAN"</f>
        <v>2017toJAN</v>
      </c>
      <c r="H479" s="11" t="str">
        <f t="shared" ref="H479:H520" si="318">"CRSP06B"</f>
        <v>CRSP06B</v>
      </c>
      <c r="I479" s="11" t="str">
        <f t="shared" ref="I479:I520" si="319">"34"</f>
        <v>34</v>
      </c>
      <c r="J479" s="11" t="str">
        <f t="shared" ref="J479:J520" si="320">"Creditor"</f>
        <v>Creditor</v>
      </c>
      <c r="K479" s="11" t="str">
        <f t="shared" si="308"/>
        <v>CS001961</v>
      </c>
      <c r="L479" s="10" t="str">
        <f t="shared" si="309"/>
        <v>New Recruits Professional Services Ltd</v>
      </c>
      <c r="M479" s="12" t="str">
        <f>"23/01/2017 00:00:00"</f>
        <v>23/01/2017 00:00:00</v>
      </c>
      <c r="N479" s="12">
        <v>42758</v>
      </c>
      <c r="O479" s="10" t="str">
        <f>"C008033"</f>
        <v>C008033</v>
      </c>
      <c r="P479" s="13">
        <v>3593.44</v>
      </c>
      <c r="Q479" s="11" t="str">
        <f>"3593.4400"</f>
        <v>3593.4400</v>
      </c>
      <c r="R479" s="10" t="str">
        <f>"C0004539"</f>
        <v>C0004539</v>
      </c>
      <c r="S479" s="14" t="str">
        <f>"8277.7200"</f>
        <v>8277.7200</v>
      </c>
      <c r="T479" s="10">
        <v>25801</v>
      </c>
      <c r="U479" s="10">
        <v>1136</v>
      </c>
      <c r="V479" s="10" t="str">
        <f t="shared" si="305"/>
        <v>Direct employee exps and bens</v>
      </c>
      <c r="W479" s="10" t="str">
        <f t="shared" si="306"/>
        <v>Employees</v>
      </c>
      <c r="X479" s="10" t="str">
        <f>VLOOKUP(U479,'[1]Account code lookup'!A:B,2,0)</f>
        <v>Agency Staff</v>
      </c>
      <c r="Z479" s="10" t="str">
        <f t="shared" si="310"/>
        <v>Environmental Services</v>
      </c>
      <c r="AA479" s="10" t="str">
        <f t="shared" si="311"/>
        <v>Operations and Delivery</v>
      </c>
      <c r="AB479" s="10" t="str">
        <f t="shared" si="312"/>
        <v>5oad</v>
      </c>
      <c r="AD479" s="10" t="str">
        <f t="shared" si="313"/>
        <v>oad02</v>
      </c>
      <c r="AE479" s="10" t="str">
        <f t="shared" si="314"/>
        <v>Environmental Services / Environmental Services Admin</v>
      </c>
      <c r="AG479" s="10" t="str">
        <f t="shared" si="315"/>
        <v>25801/1136</v>
      </c>
      <c r="AI479" s="10" t="str">
        <f t="shared" si="307"/>
        <v>11emps</v>
      </c>
      <c r="AJ479" s="15" t="str">
        <f>"Agency Staff W/C 09/01/17"</f>
        <v>Agency Staff W/C 09/01/17</v>
      </c>
      <c r="AK479" s="10" t="str">
        <f t="shared" si="304"/>
        <v>Revenue</v>
      </c>
      <c r="AL479" s="10" t="str">
        <f>""</f>
        <v/>
      </c>
      <c r="AM479" s="10" t="str">
        <f>""</f>
        <v/>
      </c>
      <c r="AN479" s="10" t="str">
        <f>""</f>
        <v/>
      </c>
      <c r="AO479" s="10" t="str">
        <f>""</f>
        <v/>
      </c>
    </row>
    <row r="480" spans="1:41" s="10" customFormat="1" ht="409.6">
      <c r="A480" s="9"/>
      <c r="B480" s="9"/>
      <c r="C480" s="9"/>
      <c r="D480" s="10" t="str">
        <f>"31864"</f>
        <v>31864</v>
      </c>
      <c r="E480" s="11" t="str">
        <f>""</f>
        <v/>
      </c>
      <c r="F480" s="11" t="str">
        <f t="shared" si="316"/>
        <v>372418</v>
      </c>
      <c r="G480" s="11" t="str">
        <f t="shared" si="317"/>
        <v>2017toJAN</v>
      </c>
      <c r="H480" s="11" t="str">
        <f t="shared" si="318"/>
        <v>CRSP06B</v>
      </c>
      <c r="I480" s="11" t="str">
        <f t="shared" si="319"/>
        <v>34</v>
      </c>
      <c r="J480" s="11" t="str">
        <f t="shared" si="320"/>
        <v>Creditor</v>
      </c>
      <c r="K480" s="11" t="str">
        <f>"CS001970"</f>
        <v>CS001970</v>
      </c>
      <c r="L480" s="10" t="str">
        <f>"NHS Oxfordshire CCG"</f>
        <v>NHS Oxfordshire CCG</v>
      </c>
      <c r="M480" s="12" t="str">
        <f>"10/01/2017 00:00:00"</f>
        <v>10/01/2017 00:00:00</v>
      </c>
      <c r="N480" s="12">
        <v>42745</v>
      </c>
      <c r="O480" s="10" t="str">
        <f>"C007204"</f>
        <v>C007204</v>
      </c>
      <c r="P480" s="13">
        <v>20000</v>
      </c>
      <c r="Q480" s="11" t="str">
        <f>"20000.0000"</f>
        <v>20000.0000</v>
      </c>
      <c r="R480" s="10" t="str">
        <f>"059212"</f>
        <v>059212</v>
      </c>
      <c r="S480" s="14" t="str">
        <f>"20000.0000"</f>
        <v>20000.0000</v>
      </c>
      <c r="T480" s="10">
        <v>21759</v>
      </c>
      <c r="U480" s="10">
        <v>1768</v>
      </c>
      <c r="V480" s="10" t="str">
        <f>"Professional Fees"</f>
        <v>Professional Fees</v>
      </c>
      <c r="W480" s="10" t="str">
        <f>"Third Party Payments"</f>
        <v>Third Party Payments</v>
      </c>
      <c r="X480" s="10" t="str">
        <f>VLOOKUP(U480,'[1]Account code lookup'!A:B,2,0)</f>
        <v>Bicester Healthy New Towns</v>
      </c>
      <c r="Z480" s="10" t="str">
        <f>"Dir of Operations and Delivery"</f>
        <v>Dir of Operations and Delivery</v>
      </c>
      <c r="AA480" s="10" t="str">
        <f t="shared" si="311"/>
        <v>Operations and Delivery</v>
      </c>
      <c r="AB480" s="10" t="str">
        <f t="shared" si="312"/>
        <v>5oad</v>
      </c>
      <c r="AD480" s="10" t="str">
        <f>"oad03"</f>
        <v>oad03</v>
      </c>
      <c r="AE480" s="10" t="str">
        <f>"Community &amp; Environment / Head of Community Services"</f>
        <v>Community &amp; Environment / Head of Community Services</v>
      </c>
      <c r="AG480" s="10" t="str">
        <f>"21759/1768"</f>
        <v>21759/1768</v>
      </c>
      <c r="AI480" s="10" t="str">
        <f>"17tpp"</f>
        <v>17tpp</v>
      </c>
      <c r="AJ480" s="15" t="str">
        <f>"Local Authority Income "</f>
        <v xml:space="preserve">Local Authority Income </v>
      </c>
      <c r="AK480" s="10" t="str">
        <f t="shared" si="304"/>
        <v>Revenue</v>
      </c>
      <c r="AL480" s="10" t="str">
        <f>""</f>
        <v/>
      </c>
      <c r="AM480" s="10" t="str">
        <f>""</f>
        <v/>
      </c>
      <c r="AN480" s="10" t="str">
        <f>""</f>
        <v/>
      </c>
      <c r="AO480" s="10" t="str">
        <f>""</f>
        <v/>
      </c>
    </row>
    <row r="481" spans="1:41" s="10" customFormat="1" ht="409.6">
      <c r="A481" s="9"/>
      <c r="B481" s="9"/>
      <c r="C481" s="9"/>
      <c r="D481" s="10" t="str">
        <f>"31865"</f>
        <v>31865</v>
      </c>
      <c r="E481" s="11" t="str">
        <f>""</f>
        <v/>
      </c>
      <c r="F481" s="11" t="str">
        <f t="shared" si="316"/>
        <v>372418</v>
      </c>
      <c r="G481" s="11" t="str">
        <f t="shared" si="317"/>
        <v>2017toJAN</v>
      </c>
      <c r="H481" s="11" t="str">
        <f t="shared" si="318"/>
        <v>CRSP06B</v>
      </c>
      <c r="I481" s="11" t="str">
        <f t="shared" si="319"/>
        <v>34</v>
      </c>
      <c r="J481" s="11" t="str">
        <f t="shared" si="320"/>
        <v>Creditor</v>
      </c>
      <c r="K481" s="11" t="str">
        <f>"CS002910"</f>
        <v>CS002910</v>
      </c>
      <c r="L481" s="10" t="str">
        <f>"Nicolas Deshayes"</f>
        <v>Nicolas Deshayes</v>
      </c>
      <c r="M481" s="12" t="str">
        <f>"19/01/2017 00:00:00"</f>
        <v>19/01/2017 00:00:00</v>
      </c>
      <c r="N481" s="12">
        <v>42754</v>
      </c>
      <c r="O481" s="10" t="str">
        <f>"C007843"</f>
        <v>C007843</v>
      </c>
      <c r="P481" s="13">
        <v>5000</v>
      </c>
      <c r="Q481" s="11" t="str">
        <f>"5000.0000"</f>
        <v>5000.0000</v>
      </c>
      <c r="R481" s="10" t="str">
        <f>"059254"</f>
        <v>059254</v>
      </c>
      <c r="S481" s="14" t="str">
        <f>"6000.0000"</f>
        <v>6000.0000</v>
      </c>
      <c r="T481" s="10">
        <v>24010</v>
      </c>
      <c r="U481" s="10">
        <v>1767</v>
      </c>
      <c r="V481" s="10" t="str">
        <f>"Professional Fees"</f>
        <v>Professional Fees</v>
      </c>
      <c r="W481" s="10" t="str">
        <f>"Third Party Payments"</f>
        <v>Third Party Payments</v>
      </c>
      <c r="X481" s="10" t="str">
        <f>VLOOKUP(U481,'[1]Account code lookup'!A:B,2,0)</f>
        <v>Professional Fees</v>
      </c>
      <c r="Z481" s="10" t="str">
        <f>"Community Services"</f>
        <v>Community Services</v>
      </c>
      <c r="AA481" s="10" t="str">
        <f t="shared" si="311"/>
        <v>Operations and Delivery</v>
      </c>
      <c r="AB481" s="10" t="str">
        <f t="shared" si="312"/>
        <v>5oad</v>
      </c>
      <c r="AD481" s="10" t="str">
        <f>"oad01"</f>
        <v>oad01</v>
      </c>
      <c r="AE481" s="10" t="str">
        <f>"Finance &amp; Procurement / Head of Finance &amp; Procurement"</f>
        <v>Finance &amp; Procurement / Head of Finance &amp; Procurement</v>
      </c>
      <c r="AG481" s="10" t="str">
        <f>"24010/1767"</f>
        <v>24010/1767</v>
      </c>
      <c r="AI481" s="10" t="str">
        <f>"17tpp"</f>
        <v>17tpp</v>
      </c>
      <c r="AJ481" s="15" t="str">
        <f>"Inv No 170101 dated 3 January 2017_x000D_
Longford Park, public artwork commission"</f>
        <v>Inv No 170101 dated 3 January 2017_x000D_
Longford Park, public artwork commission</v>
      </c>
      <c r="AK481" s="10" t="str">
        <f t="shared" si="304"/>
        <v>Revenue</v>
      </c>
      <c r="AL481" s="10" t="str">
        <f>""</f>
        <v/>
      </c>
      <c r="AM481" s="10" t="str">
        <f>""</f>
        <v/>
      </c>
      <c r="AN481" s="10" t="str">
        <f>""</f>
        <v/>
      </c>
      <c r="AO481" s="10" t="str">
        <f>""</f>
        <v/>
      </c>
    </row>
    <row r="482" spans="1:41" s="10" customFormat="1" ht="409.6">
      <c r="A482" s="9"/>
      <c r="B482" s="9"/>
      <c r="C482" s="9"/>
      <c r="D482" s="10" t="str">
        <f>"31869"</f>
        <v>31869</v>
      </c>
      <c r="E482" s="11" t="str">
        <f>""</f>
        <v/>
      </c>
      <c r="F482" s="11" t="str">
        <f t="shared" si="316"/>
        <v>372418</v>
      </c>
      <c r="G482" s="11" t="str">
        <f t="shared" si="317"/>
        <v>2017toJAN</v>
      </c>
      <c r="H482" s="11" t="str">
        <f t="shared" si="318"/>
        <v>CRSP06B</v>
      </c>
      <c r="I482" s="11" t="str">
        <f t="shared" si="319"/>
        <v>34</v>
      </c>
      <c r="J482" s="11" t="str">
        <f t="shared" si="320"/>
        <v>Creditor</v>
      </c>
      <c r="K482" s="11" t="str">
        <f>"CS001884"</f>
        <v>CS001884</v>
      </c>
      <c r="L482" s="10" t="str">
        <f>"Northgate Arinso"</f>
        <v>Northgate Arinso</v>
      </c>
      <c r="M482" s="12" t="str">
        <f>"23/01/2017 00:00:00"</f>
        <v>23/01/2017 00:00:00</v>
      </c>
      <c r="N482" s="12">
        <v>42758</v>
      </c>
      <c r="O482" s="10" t="str">
        <f>"C006813"</f>
        <v>C006813</v>
      </c>
      <c r="P482" s="13">
        <v>1089.52</v>
      </c>
      <c r="Q482" s="11" t="str">
        <f>"1089.5200"</f>
        <v>1089.5200</v>
      </c>
      <c r="R482" s="10" t="str">
        <f>"C0004537"</f>
        <v>C0004537</v>
      </c>
      <c r="S482" s="14" t="str">
        <f>"1307.4200"</f>
        <v>1307.4200</v>
      </c>
      <c r="T482" s="10">
        <v>40060</v>
      </c>
      <c r="U482" s="10">
        <v>4100</v>
      </c>
      <c r="V482" s="10" t="str">
        <f>"Capital Works"</f>
        <v>Capital Works</v>
      </c>
      <c r="W482" s="10" t="str">
        <f>"Capital Works"</f>
        <v>Capital Works</v>
      </c>
      <c r="X482" s="10" t="str">
        <f>VLOOKUP(U482,'[1]Account code lookup'!A:B,2,0)</f>
        <v>Contractors Capital Payments</v>
      </c>
      <c r="Z482" s="10" t="str">
        <f>"Capital Finance and Procuremen"</f>
        <v>Capital Finance and Procuremen</v>
      </c>
      <c r="AA482" s="10" t="str">
        <f>"Chief Finance Officer Capital"</f>
        <v>Chief Finance Officer Capital</v>
      </c>
      <c r="AB482" s="10" t="str">
        <f>"c3cfo"</f>
        <v>c3cfo</v>
      </c>
      <c r="AD482" s="10" t="str">
        <f>"ccfo02"</f>
        <v>ccfo02</v>
      </c>
      <c r="AE482" s="10" t="str">
        <f>"Transformation / Human Resources"</f>
        <v>Transformation / Human Resources</v>
      </c>
      <c r="AG482" s="10" t="str">
        <f>"40060/4100"</f>
        <v>40060/4100</v>
      </c>
      <c r="AI482" s="10" t="str">
        <f>"41cwrk"</f>
        <v>41cwrk</v>
      </c>
      <c r="AJ482" s="15" t="str">
        <f>""</f>
        <v/>
      </c>
      <c r="AK482" s="10" t="str">
        <f>"Capital"</f>
        <v>Capital</v>
      </c>
      <c r="AL482" s="10" t="str">
        <f>""</f>
        <v/>
      </c>
      <c r="AM482" s="10" t="str">
        <f>""</f>
        <v/>
      </c>
      <c r="AN482" s="10" t="str">
        <f>""</f>
        <v/>
      </c>
      <c r="AO482" s="10" t="str">
        <f>""</f>
        <v/>
      </c>
    </row>
    <row r="483" spans="1:41" s="10" customFormat="1" ht="409.6">
      <c r="A483" s="9"/>
      <c r="B483" s="9"/>
      <c r="C483" s="9"/>
      <c r="D483" s="10" t="str">
        <f>"31870"</f>
        <v>31870</v>
      </c>
      <c r="E483" s="11" t="str">
        <f>""</f>
        <v/>
      </c>
      <c r="F483" s="11" t="str">
        <f t="shared" si="316"/>
        <v>372418</v>
      </c>
      <c r="G483" s="11" t="str">
        <f t="shared" si="317"/>
        <v>2017toJAN</v>
      </c>
      <c r="H483" s="11" t="str">
        <f t="shared" si="318"/>
        <v>CRSP06B</v>
      </c>
      <c r="I483" s="11" t="str">
        <f t="shared" si="319"/>
        <v>34</v>
      </c>
      <c r="J483" s="11" t="str">
        <f t="shared" si="320"/>
        <v>Creditor</v>
      </c>
      <c r="K483" s="11" t="str">
        <f>"CS001886"</f>
        <v>CS001886</v>
      </c>
      <c r="L483" s="10" t="str">
        <f>"NorthgatePublic Services (UK) Ltd"</f>
        <v>NorthgatePublic Services (UK) Ltd</v>
      </c>
      <c r="M483" s="12" t="str">
        <f>"18/01/2017 00:00:00"</f>
        <v>18/01/2017 00:00:00</v>
      </c>
      <c r="N483" s="12">
        <v>42753</v>
      </c>
      <c r="O483" s="10" t="str">
        <f>"C007489"</f>
        <v>C007489</v>
      </c>
      <c r="P483" s="13">
        <v>62.5</v>
      </c>
      <c r="Q483" s="11" t="str">
        <f>"62.5000"</f>
        <v>62.5000</v>
      </c>
      <c r="R483" s="10" t="str">
        <f>"C0004481"</f>
        <v>C0004481</v>
      </c>
      <c r="S483" s="14" t="str">
        <f>"750.0000"</f>
        <v>750.0000</v>
      </c>
      <c r="T483" s="10">
        <v>21700</v>
      </c>
      <c r="U483" s="10">
        <v>1516</v>
      </c>
      <c r="V483" s="10" t="str">
        <f>"Communications and computing"</f>
        <v>Communications and computing</v>
      </c>
      <c r="W483" s="10" t="str">
        <f>"Supplies and Services"</f>
        <v>Supplies and Services</v>
      </c>
      <c r="X483" s="10" t="str">
        <f>VLOOKUP(U483,'[1]Account code lookup'!A:B,2,0)</f>
        <v>Computer Software, Licensing &amp; Maintenan</v>
      </c>
      <c r="Z483" s="10" t="str">
        <f>"Community Services"</f>
        <v>Community Services</v>
      </c>
      <c r="AA483" s="10" t="str">
        <f>"Operations and Delivery"</f>
        <v>Operations and Delivery</v>
      </c>
      <c r="AB483" s="10" t="str">
        <f>"5oad"</f>
        <v>5oad</v>
      </c>
      <c r="AD483" s="10" t="str">
        <f>"oad01"</f>
        <v>oad01</v>
      </c>
      <c r="AE483" s="10" t="str">
        <f>"Community Services / Customer Services"</f>
        <v>Community Services / Customer Services</v>
      </c>
      <c r="AG483" s="10" t="str">
        <f>"21700/1516"</f>
        <v>21700/1516</v>
      </c>
      <c r="AI483" s="10" t="str">
        <f>"14suse"</f>
        <v>14suse</v>
      </c>
      <c r="AJ483" s="15" t="str">
        <f>"2 x Iclipse Licence annual support &amp; maintenance (Sue Balcombe + Lucie Peskova)"</f>
        <v>2 x Iclipse Licence annual support &amp; maintenance (Sue Balcombe + Lucie Peskova)</v>
      </c>
      <c r="AK483" s="10" t="str">
        <f t="shared" ref="AK483:AK504" si="321">"Revenue"</f>
        <v>Revenue</v>
      </c>
      <c r="AL483" s="10" t="str">
        <f>""</f>
        <v/>
      </c>
      <c r="AM483" s="10" t="str">
        <f>""</f>
        <v/>
      </c>
      <c r="AN483" s="10" t="str">
        <f>""</f>
        <v/>
      </c>
      <c r="AO483" s="10" t="str">
        <f>""</f>
        <v/>
      </c>
    </row>
    <row r="484" spans="1:41" s="10" customFormat="1" ht="409.6">
      <c r="A484" s="9"/>
      <c r="B484" s="9"/>
      <c r="C484" s="9"/>
      <c r="D484" s="10" t="str">
        <f>"31871"</f>
        <v>31871</v>
      </c>
      <c r="E484" s="11" t="str">
        <f>""</f>
        <v/>
      </c>
      <c r="F484" s="11" t="str">
        <f t="shared" si="316"/>
        <v>372418</v>
      </c>
      <c r="G484" s="11" t="str">
        <f t="shared" si="317"/>
        <v>2017toJAN</v>
      </c>
      <c r="H484" s="11" t="str">
        <f t="shared" si="318"/>
        <v>CRSP06B</v>
      </c>
      <c r="I484" s="11" t="str">
        <f t="shared" si="319"/>
        <v>34</v>
      </c>
      <c r="J484" s="11" t="str">
        <f t="shared" si="320"/>
        <v>Creditor</v>
      </c>
      <c r="K484" s="11" t="str">
        <f>"CS001886"</f>
        <v>CS001886</v>
      </c>
      <c r="L484" s="10" t="str">
        <f>"NorthgatePublic Services (UK) Ltd"</f>
        <v>NorthgatePublic Services (UK) Ltd</v>
      </c>
      <c r="M484" s="12" t="str">
        <f>"18/01/2017 00:00:00"</f>
        <v>18/01/2017 00:00:00</v>
      </c>
      <c r="N484" s="12">
        <v>42753</v>
      </c>
      <c r="O484" s="10" t="str">
        <f>"C007490"</f>
        <v>C007490</v>
      </c>
      <c r="P484" s="13">
        <v>62.5</v>
      </c>
      <c r="Q484" s="11" t="str">
        <f>"62.5000"</f>
        <v>62.5000</v>
      </c>
      <c r="R484" s="10" t="str">
        <f>"C0004481"</f>
        <v>C0004481</v>
      </c>
      <c r="S484" s="14" t="str">
        <f>"750.0000"</f>
        <v>750.0000</v>
      </c>
      <c r="T484" s="10">
        <v>21700</v>
      </c>
      <c r="U484" s="10">
        <v>1516</v>
      </c>
      <c r="V484" s="10" t="str">
        <f>"Communications and computing"</f>
        <v>Communications and computing</v>
      </c>
      <c r="W484" s="10" t="str">
        <f>"Supplies and Services"</f>
        <v>Supplies and Services</v>
      </c>
      <c r="X484" s="10" t="str">
        <f>VLOOKUP(U484,'[1]Account code lookup'!A:B,2,0)</f>
        <v>Computer Software, Licensing &amp; Maintenan</v>
      </c>
      <c r="Z484" s="10" t="str">
        <f>"Community Services"</f>
        <v>Community Services</v>
      </c>
      <c r="AA484" s="10" t="str">
        <f>"Operations and Delivery"</f>
        <v>Operations and Delivery</v>
      </c>
      <c r="AB484" s="10" t="str">
        <f>"5oad"</f>
        <v>5oad</v>
      </c>
      <c r="AD484" s="10" t="str">
        <f>"oad01"</f>
        <v>oad01</v>
      </c>
      <c r="AE484" s="10" t="str">
        <f>"Community Services / Customer Services"</f>
        <v>Community Services / Customer Services</v>
      </c>
      <c r="AG484" s="10" t="str">
        <f>"21700/1516"</f>
        <v>21700/1516</v>
      </c>
      <c r="AI484" s="10" t="str">
        <f>"14suse"</f>
        <v>14suse</v>
      </c>
      <c r="AJ484" s="15" t="str">
        <f>"2 x Iclipse Licence annual support &amp; maintenance (Sue Balcombe + Lucie Peskova)"</f>
        <v>2 x Iclipse Licence annual support &amp; maintenance (Sue Balcombe + Lucie Peskova)</v>
      </c>
      <c r="AK484" s="10" t="str">
        <f t="shared" si="321"/>
        <v>Revenue</v>
      </c>
      <c r="AL484" s="10" t="str">
        <f>""</f>
        <v/>
      </c>
      <c r="AM484" s="10" t="str">
        <f>""</f>
        <v/>
      </c>
      <c r="AN484" s="10" t="str">
        <f>""</f>
        <v/>
      </c>
      <c r="AO484" s="10" t="str">
        <f>""</f>
        <v/>
      </c>
    </row>
    <row r="485" spans="1:41" s="10" customFormat="1" ht="409.6">
      <c r="A485" s="9"/>
      <c r="B485" s="9"/>
      <c r="C485" s="9"/>
      <c r="D485" s="10" t="str">
        <f>"31872"</f>
        <v>31872</v>
      </c>
      <c r="E485" s="11" t="str">
        <f>""</f>
        <v/>
      </c>
      <c r="F485" s="11" t="str">
        <f t="shared" si="316"/>
        <v>372418</v>
      </c>
      <c r="G485" s="11" t="str">
        <f t="shared" si="317"/>
        <v>2017toJAN</v>
      </c>
      <c r="H485" s="11" t="str">
        <f t="shared" si="318"/>
        <v>CRSP06B</v>
      </c>
      <c r="I485" s="11" t="str">
        <f t="shared" si="319"/>
        <v>34</v>
      </c>
      <c r="J485" s="11" t="str">
        <f t="shared" si="320"/>
        <v>Creditor</v>
      </c>
      <c r="K485" s="11" t="str">
        <f>"CS001886"</f>
        <v>CS001886</v>
      </c>
      <c r="L485" s="10" t="str">
        <f>"NorthgatePublic Services (UK) Ltd"</f>
        <v>NorthgatePublic Services (UK) Ltd</v>
      </c>
      <c r="M485" s="12" t="str">
        <f>"18/01/2017 00:00:00"</f>
        <v>18/01/2017 00:00:00</v>
      </c>
      <c r="N485" s="12">
        <v>42753</v>
      </c>
      <c r="O485" s="10" t="str">
        <f>"C007487"</f>
        <v>C007487</v>
      </c>
      <c r="P485" s="13">
        <v>250</v>
      </c>
      <c r="Q485" s="11" t="str">
        <f>"250.0000"</f>
        <v>250.0000</v>
      </c>
      <c r="R485" s="10" t="str">
        <f>"C0004481"</f>
        <v>C0004481</v>
      </c>
      <c r="S485" s="14" t="str">
        <f>"750.0000"</f>
        <v>750.0000</v>
      </c>
      <c r="T485" s="10">
        <v>21700</v>
      </c>
      <c r="U485" s="10">
        <v>1516</v>
      </c>
      <c r="V485" s="10" t="str">
        <f>"Communications and computing"</f>
        <v>Communications and computing</v>
      </c>
      <c r="W485" s="10" t="str">
        <f>"Supplies and Services"</f>
        <v>Supplies and Services</v>
      </c>
      <c r="X485" s="10" t="str">
        <f>VLOOKUP(U485,'[1]Account code lookup'!A:B,2,0)</f>
        <v>Computer Software, Licensing &amp; Maintenan</v>
      </c>
      <c r="Z485" s="10" t="str">
        <f>"Community Services"</f>
        <v>Community Services</v>
      </c>
      <c r="AA485" s="10" t="str">
        <f>"Operations and Delivery"</f>
        <v>Operations and Delivery</v>
      </c>
      <c r="AB485" s="10" t="str">
        <f>"5oad"</f>
        <v>5oad</v>
      </c>
      <c r="AD485" s="10" t="str">
        <f>"oad01"</f>
        <v>oad01</v>
      </c>
      <c r="AE485" s="10" t="str">
        <f>"Community Services / Customer Services"</f>
        <v>Community Services / Customer Services</v>
      </c>
      <c r="AG485" s="10" t="str">
        <f>"21700/1516"</f>
        <v>21700/1516</v>
      </c>
      <c r="AI485" s="10" t="str">
        <f>"14suse"</f>
        <v>14suse</v>
      </c>
      <c r="AJ485" s="15" t="str">
        <f>"2 x Iclipse Licences (Sue Balcombe + Lucie Peskova)"</f>
        <v>2 x Iclipse Licences (Sue Balcombe + Lucie Peskova)</v>
      </c>
      <c r="AK485" s="10" t="str">
        <f t="shared" si="321"/>
        <v>Revenue</v>
      </c>
      <c r="AL485" s="10" t="str">
        <f>""</f>
        <v/>
      </c>
      <c r="AM485" s="10" t="str">
        <f>""</f>
        <v/>
      </c>
      <c r="AN485" s="10" t="str">
        <f>""</f>
        <v/>
      </c>
      <c r="AO485" s="10" t="str">
        <f>""</f>
        <v/>
      </c>
    </row>
    <row r="486" spans="1:41" s="10" customFormat="1" ht="409.6">
      <c r="A486" s="9"/>
      <c r="B486" s="9"/>
      <c r="C486" s="9"/>
      <c r="D486" s="10" t="str">
        <f>"31873"</f>
        <v>31873</v>
      </c>
      <c r="E486" s="11" t="str">
        <f>""</f>
        <v/>
      </c>
      <c r="F486" s="11" t="str">
        <f t="shared" si="316"/>
        <v>372418</v>
      </c>
      <c r="G486" s="11" t="str">
        <f t="shared" si="317"/>
        <v>2017toJAN</v>
      </c>
      <c r="H486" s="11" t="str">
        <f t="shared" si="318"/>
        <v>CRSP06B</v>
      </c>
      <c r="I486" s="11" t="str">
        <f t="shared" si="319"/>
        <v>34</v>
      </c>
      <c r="J486" s="11" t="str">
        <f t="shared" si="320"/>
        <v>Creditor</v>
      </c>
      <c r="K486" s="11" t="str">
        <f>"CS001886"</f>
        <v>CS001886</v>
      </c>
      <c r="L486" s="10" t="str">
        <f>"NorthgatePublic Services (UK) Ltd"</f>
        <v>NorthgatePublic Services (UK) Ltd</v>
      </c>
      <c r="M486" s="12" t="str">
        <f>"18/01/2017 00:00:00"</f>
        <v>18/01/2017 00:00:00</v>
      </c>
      <c r="N486" s="12">
        <v>42753</v>
      </c>
      <c r="O486" s="10" t="str">
        <f>"C007488"</f>
        <v>C007488</v>
      </c>
      <c r="P486" s="13">
        <v>250</v>
      </c>
      <c r="Q486" s="11" t="str">
        <f>"250.0000"</f>
        <v>250.0000</v>
      </c>
      <c r="R486" s="10" t="str">
        <f>"C0004481"</f>
        <v>C0004481</v>
      </c>
      <c r="S486" s="14" t="str">
        <f>"750.0000"</f>
        <v>750.0000</v>
      </c>
      <c r="T486" s="10">
        <v>21700</v>
      </c>
      <c r="U486" s="10">
        <v>1516</v>
      </c>
      <c r="V486" s="10" t="str">
        <f>"Communications and computing"</f>
        <v>Communications and computing</v>
      </c>
      <c r="W486" s="10" t="str">
        <f>"Supplies and Services"</f>
        <v>Supplies and Services</v>
      </c>
      <c r="X486" s="10" t="str">
        <f>VLOOKUP(U486,'[1]Account code lookup'!A:B,2,0)</f>
        <v>Computer Software, Licensing &amp; Maintenan</v>
      </c>
      <c r="Z486" s="10" t="str">
        <f>"Community Services"</f>
        <v>Community Services</v>
      </c>
      <c r="AA486" s="10" t="str">
        <f>"Operations and Delivery"</f>
        <v>Operations and Delivery</v>
      </c>
      <c r="AB486" s="10" t="str">
        <f>"5oad"</f>
        <v>5oad</v>
      </c>
      <c r="AD486" s="10" t="str">
        <f>"oad01"</f>
        <v>oad01</v>
      </c>
      <c r="AE486" s="10" t="str">
        <f>"Community Services / Customer Services"</f>
        <v>Community Services / Customer Services</v>
      </c>
      <c r="AG486" s="10" t="str">
        <f>"21700/1516"</f>
        <v>21700/1516</v>
      </c>
      <c r="AI486" s="10" t="str">
        <f>"14suse"</f>
        <v>14suse</v>
      </c>
      <c r="AJ486" s="15" t="str">
        <f>"2 x Iclipse Licences (Sue Balcombe + Lucie Peskova)"</f>
        <v>2 x Iclipse Licences (Sue Balcombe + Lucie Peskova)</v>
      </c>
      <c r="AK486" s="10" t="str">
        <f t="shared" si="321"/>
        <v>Revenue</v>
      </c>
      <c r="AL486" s="10" t="str">
        <f>""</f>
        <v/>
      </c>
      <c r="AM486" s="10" t="str">
        <f>""</f>
        <v/>
      </c>
      <c r="AN486" s="10" t="str">
        <f>""</f>
        <v/>
      </c>
      <c r="AO486" s="10" t="str">
        <f>""</f>
        <v/>
      </c>
    </row>
    <row r="487" spans="1:41" s="10" customFormat="1" ht="409.6">
      <c r="A487" s="9"/>
      <c r="B487" s="9"/>
      <c r="C487" s="9"/>
      <c r="D487" s="10" t="str">
        <f>"31874"</f>
        <v>31874</v>
      </c>
      <c r="E487" s="11" t="str">
        <f>""</f>
        <v/>
      </c>
      <c r="F487" s="11" t="str">
        <f t="shared" si="316"/>
        <v>372418</v>
      </c>
      <c r="G487" s="11" t="str">
        <f t="shared" si="317"/>
        <v>2017toJAN</v>
      </c>
      <c r="H487" s="11" t="str">
        <f t="shared" si="318"/>
        <v>CRSP06B</v>
      </c>
      <c r="I487" s="11" t="str">
        <f t="shared" si="319"/>
        <v>34</v>
      </c>
      <c r="J487" s="11" t="str">
        <f t="shared" si="320"/>
        <v>Creditor</v>
      </c>
      <c r="K487" s="11" t="str">
        <f>"CS002553"</f>
        <v>CS002553</v>
      </c>
      <c r="L487" s="10" t="str">
        <f>"Nortoft"</f>
        <v>Nortoft</v>
      </c>
      <c r="M487" s="12" t="str">
        <f>"20/01/2017 00:00:00"</f>
        <v>20/01/2017 00:00:00</v>
      </c>
      <c r="N487" s="12">
        <v>42755</v>
      </c>
      <c r="O487" s="10" t="str">
        <f>"C007916"</f>
        <v>C007916</v>
      </c>
      <c r="P487" s="13">
        <v>4465.5</v>
      </c>
      <c r="Q487" s="11" t="str">
        <f>"4465.5000"</f>
        <v>4465.5000</v>
      </c>
      <c r="R487" s="10" t="str">
        <f>"C0004515"</f>
        <v>C0004515</v>
      </c>
      <c r="S487" s="14" t="str">
        <f>"5358.6000"</f>
        <v>5358.6000</v>
      </c>
      <c r="T487" s="10">
        <v>29210</v>
      </c>
      <c r="U487" s="10">
        <v>1765</v>
      </c>
      <c r="V487" s="10" t="str">
        <f>"Professional Fees"</f>
        <v>Professional Fees</v>
      </c>
      <c r="W487" s="10" t="str">
        <f>"Third Party Payments"</f>
        <v>Third Party Payments</v>
      </c>
      <c r="X487" s="10" t="str">
        <f>VLOOKUP(U487,'[1]Account code lookup'!A:B,2,0)</f>
        <v>Consultants Fees</v>
      </c>
      <c r="Z487" s="10" t="str">
        <f>"Strategic Planning Economy"</f>
        <v>Strategic Planning Economy</v>
      </c>
      <c r="AA487" s="10" t="str">
        <f>"Strategy and Commissioning"</f>
        <v>Strategy and Commissioning</v>
      </c>
      <c r="AB487" s="10" t="str">
        <f>"4sac"</f>
        <v>4sac</v>
      </c>
      <c r="AD487" s="10" t="str">
        <f>"sac01"</f>
        <v>sac01</v>
      </c>
      <c r="AE487" s="10" t="str">
        <f>"Finance &amp; Procurement / Head of Finance &amp; Procurement"</f>
        <v>Finance &amp; Procurement / Head of Finance &amp; Procurement</v>
      </c>
      <c r="AG487" s="10" t="str">
        <f>"29210/1765"</f>
        <v>29210/1765</v>
      </c>
      <c r="AI487" s="10" t="str">
        <f>"17tpp"</f>
        <v>17tpp</v>
      </c>
      <c r="AJ487" s="15" t="str">
        <f>"Open Space and Play Areas Assessment (Stages 2 and 3)"</f>
        <v>Open Space and Play Areas Assessment (Stages 2 and 3)</v>
      </c>
      <c r="AK487" s="10" t="str">
        <f t="shared" si="321"/>
        <v>Revenue</v>
      </c>
      <c r="AL487" s="10" t="str">
        <f>""</f>
        <v/>
      </c>
      <c r="AM487" s="10" t="str">
        <f>""</f>
        <v/>
      </c>
      <c r="AN487" s="10" t="str">
        <f>""</f>
        <v/>
      </c>
      <c r="AO487" s="10" t="str">
        <f>""</f>
        <v/>
      </c>
    </row>
    <row r="488" spans="1:41" s="10" customFormat="1" ht="409.6">
      <c r="A488" s="9"/>
      <c r="B488" s="9"/>
      <c r="C488" s="9"/>
      <c r="D488" s="10" t="str">
        <f>"31875"</f>
        <v>31875</v>
      </c>
      <c r="E488" s="11" t="str">
        <f>""</f>
        <v/>
      </c>
      <c r="F488" s="11" t="str">
        <f t="shared" si="316"/>
        <v>372418</v>
      </c>
      <c r="G488" s="11" t="str">
        <f t="shared" si="317"/>
        <v>2017toJAN</v>
      </c>
      <c r="H488" s="11" t="str">
        <f t="shared" si="318"/>
        <v>CRSP06B</v>
      </c>
      <c r="I488" s="11" t="str">
        <f t="shared" si="319"/>
        <v>34</v>
      </c>
      <c r="J488" s="11" t="str">
        <f t="shared" si="320"/>
        <v>Creditor</v>
      </c>
      <c r="K488" s="11" t="str">
        <f t="shared" ref="K488:K499" si="322">"CS001873"</f>
        <v>CS001873</v>
      </c>
      <c r="L488" s="10" t="str">
        <f t="shared" ref="L488:L499" si="323">"NPower Limted"</f>
        <v>NPower Limted</v>
      </c>
      <c r="M488" s="12" t="str">
        <f t="shared" ref="M488:M495" si="324">"13/01/2017 00:00:00"</f>
        <v>13/01/2017 00:00:00</v>
      </c>
      <c r="N488" s="12">
        <v>42748</v>
      </c>
      <c r="O488" s="10" t="str">
        <f>"C007307"</f>
        <v>C007307</v>
      </c>
      <c r="P488" s="13">
        <v>219.13</v>
      </c>
      <c r="Q488" s="11" t="str">
        <f>"219.1300"</f>
        <v>219.1300</v>
      </c>
      <c r="R488" s="10" t="str">
        <f t="shared" ref="R488:R495" si="325">"C0004412"</f>
        <v>C0004412</v>
      </c>
      <c r="S488" s="14" t="str">
        <f t="shared" ref="S488:S495" si="326">"5591.7200"</f>
        <v>5591.7200</v>
      </c>
      <c r="T488" s="10">
        <v>24140</v>
      </c>
      <c r="U488" s="10">
        <v>1220</v>
      </c>
      <c r="V488" s="10" t="str">
        <f t="shared" ref="V488:V499" si="327">"Energy Costs"</f>
        <v>Energy Costs</v>
      </c>
      <c r="W488" s="10" t="str">
        <f t="shared" ref="W488:W499" si="328">"Premises Related Expenditure"</f>
        <v>Premises Related Expenditure</v>
      </c>
      <c r="X488" s="10" t="str">
        <f>VLOOKUP(U488,'[1]Account code lookup'!A:B,2,0)</f>
        <v>Electricity</v>
      </c>
      <c r="Z488" s="10" t="str">
        <f>"Community Services"</f>
        <v>Community Services</v>
      </c>
      <c r="AA488" s="10" t="str">
        <f>"Operations and Delivery"</f>
        <v>Operations and Delivery</v>
      </c>
      <c r="AB488" s="10" t="str">
        <f>"5oad"</f>
        <v>5oad</v>
      </c>
      <c r="AD488" s="10" t="str">
        <f>"oad01"</f>
        <v>oad01</v>
      </c>
      <c r="AE488" s="10" t="str">
        <f>"Community Services / Facilities Management"</f>
        <v>Community Services / Facilities Management</v>
      </c>
      <c r="AG488" s="10" t="str">
        <f>"24140/1220"</f>
        <v>24140/1220</v>
      </c>
      <c r="AI488" s="10" t="str">
        <f t="shared" ref="AI488:AI499" si="329">"12prem"</f>
        <v>12prem</v>
      </c>
      <c r="AJ488" s="15" t="str">
        <f>"Drayton Pavilion Electricity Charges 300916-301116"</f>
        <v>Drayton Pavilion Electricity Charges 300916-301116</v>
      </c>
      <c r="AK488" s="10" t="str">
        <f t="shared" si="321"/>
        <v>Revenue</v>
      </c>
      <c r="AL488" s="10" t="str">
        <f>""</f>
        <v/>
      </c>
      <c r="AM488" s="10" t="str">
        <f>""</f>
        <v/>
      </c>
      <c r="AN488" s="10" t="str">
        <f>""</f>
        <v/>
      </c>
      <c r="AO488" s="10" t="str">
        <f>""</f>
        <v/>
      </c>
    </row>
    <row r="489" spans="1:41" s="10" customFormat="1" ht="409.6">
      <c r="A489" s="9"/>
      <c r="B489" s="9"/>
      <c r="C489" s="9"/>
      <c r="D489" s="10" t="str">
        <f>"31876"</f>
        <v>31876</v>
      </c>
      <c r="E489" s="11" t="str">
        <f>""</f>
        <v/>
      </c>
      <c r="F489" s="11" t="str">
        <f t="shared" si="316"/>
        <v>372418</v>
      </c>
      <c r="G489" s="11" t="str">
        <f t="shared" si="317"/>
        <v>2017toJAN</v>
      </c>
      <c r="H489" s="11" t="str">
        <f t="shared" si="318"/>
        <v>CRSP06B</v>
      </c>
      <c r="I489" s="11" t="str">
        <f t="shared" si="319"/>
        <v>34</v>
      </c>
      <c r="J489" s="11" t="str">
        <f t="shared" si="320"/>
        <v>Creditor</v>
      </c>
      <c r="K489" s="11" t="str">
        <f t="shared" si="322"/>
        <v>CS001873</v>
      </c>
      <c r="L489" s="10" t="str">
        <f t="shared" si="323"/>
        <v>NPower Limted</v>
      </c>
      <c r="M489" s="12" t="str">
        <f t="shared" si="324"/>
        <v>13/01/2017 00:00:00</v>
      </c>
      <c r="N489" s="12">
        <v>42748</v>
      </c>
      <c r="O489" s="10" t="str">
        <f>"C007308"</f>
        <v>C007308</v>
      </c>
      <c r="P489" s="13">
        <v>37.119999999999997</v>
      </c>
      <c r="Q489" s="11" t="str">
        <f>"37.1200"</f>
        <v>37.1200</v>
      </c>
      <c r="R489" s="10" t="str">
        <f t="shared" si="325"/>
        <v>C0004412</v>
      </c>
      <c r="S489" s="14" t="str">
        <f t="shared" si="326"/>
        <v>5591.7200</v>
      </c>
      <c r="T489" s="10">
        <v>24300</v>
      </c>
      <c r="U489" s="10">
        <v>1220</v>
      </c>
      <c r="V489" s="10" t="str">
        <f t="shared" si="327"/>
        <v>Energy Costs</v>
      </c>
      <c r="W489" s="10" t="str">
        <f t="shared" si="328"/>
        <v>Premises Related Expenditure</v>
      </c>
      <c r="X489" s="10" t="str">
        <f>VLOOKUP(U489,'[1]Account code lookup'!A:B,2,0)</f>
        <v>Electricity</v>
      </c>
      <c r="Z489" s="10" t="str">
        <f>"Environmental Services"</f>
        <v>Environmental Services</v>
      </c>
      <c r="AA489" s="10" t="str">
        <f>"Operations and Delivery"</f>
        <v>Operations and Delivery</v>
      </c>
      <c r="AB489" s="10" t="str">
        <f>"5oad"</f>
        <v>5oad</v>
      </c>
      <c r="AD489" s="10" t="str">
        <f>"oad02"</f>
        <v>oad02</v>
      </c>
      <c r="AE489" s="10" t="str">
        <f>"Environmental Services / Street Scene &amp; Landscape Services"</f>
        <v>Environmental Services / Street Scene &amp; Landscape Services</v>
      </c>
      <c r="AG489" s="10" t="str">
        <f>"24300/1220"</f>
        <v>24300/1220</v>
      </c>
      <c r="AI489" s="10" t="str">
        <f t="shared" si="329"/>
        <v>12prem</v>
      </c>
      <c r="AJ489" s="15" t="str">
        <f>"Feeder Pillar (Town Hall) November 2016"</f>
        <v>Feeder Pillar (Town Hall) November 2016</v>
      </c>
      <c r="AK489" s="10" t="str">
        <f t="shared" si="321"/>
        <v>Revenue</v>
      </c>
      <c r="AL489" s="10" t="str">
        <f>""</f>
        <v/>
      </c>
      <c r="AM489" s="10" t="str">
        <f>""</f>
        <v/>
      </c>
      <c r="AN489" s="10" t="str">
        <f>""</f>
        <v/>
      </c>
      <c r="AO489" s="10" t="str">
        <f>""</f>
        <v/>
      </c>
    </row>
    <row r="490" spans="1:41" s="10" customFormat="1" ht="409.6">
      <c r="A490" s="9"/>
      <c r="B490" s="9"/>
      <c r="C490" s="9"/>
      <c r="D490" s="10" t="str">
        <f>"31877"</f>
        <v>31877</v>
      </c>
      <c r="E490" s="11" t="str">
        <f>""</f>
        <v/>
      </c>
      <c r="F490" s="11" t="str">
        <f t="shared" si="316"/>
        <v>372418</v>
      </c>
      <c r="G490" s="11" t="str">
        <f t="shared" si="317"/>
        <v>2017toJAN</v>
      </c>
      <c r="H490" s="11" t="str">
        <f t="shared" si="318"/>
        <v>CRSP06B</v>
      </c>
      <c r="I490" s="11" t="str">
        <f t="shared" si="319"/>
        <v>34</v>
      </c>
      <c r="J490" s="11" t="str">
        <f t="shared" si="320"/>
        <v>Creditor</v>
      </c>
      <c r="K490" s="11" t="str">
        <f t="shared" si="322"/>
        <v>CS001873</v>
      </c>
      <c r="L490" s="10" t="str">
        <f t="shared" si="323"/>
        <v>NPower Limted</v>
      </c>
      <c r="M490" s="12" t="str">
        <f t="shared" si="324"/>
        <v>13/01/2017 00:00:00</v>
      </c>
      <c r="N490" s="12">
        <v>42748</v>
      </c>
      <c r="O490" s="10" t="str">
        <f>"C007378"</f>
        <v>C007378</v>
      </c>
      <c r="P490" s="13">
        <v>106.18</v>
      </c>
      <c r="Q490" s="11" t="str">
        <f>"106.1800"</f>
        <v>106.1800</v>
      </c>
      <c r="R490" s="10" t="str">
        <f t="shared" si="325"/>
        <v>C0004412</v>
      </c>
      <c r="S490" s="14" t="str">
        <f t="shared" si="326"/>
        <v>5591.7200</v>
      </c>
      <c r="T490" s="10">
        <v>25580</v>
      </c>
      <c r="U490" s="10">
        <v>1220</v>
      </c>
      <c r="V490" s="10" t="str">
        <f t="shared" si="327"/>
        <v>Energy Costs</v>
      </c>
      <c r="W490" s="10" t="str">
        <f t="shared" si="328"/>
        <v>Premises Related Expenditure</v>
      </c>
      <c r="X490" s="10" t="str">
        <f>VLOOKUP(U490,'[1]Account code lookup'!A:B,2,0)</f>
        <v>Electricity</v>
      </c>
      <c r="Z490" s="10" t="str">
        <f>"Environmental Services"</f>
        <v>Environmental Services</v>
      </c>
      <c r="AA490" s="10" t="str">
        <f>"Operations and Delivery"</f>
        <v>Operations and Delivery</v>
      </c>
      <c r="AB490" s="10" t="str">
        <f>"5oad"</f>
        <v>5oad</v>
      </c>
      <c r="AD490" s="10" t="str">
        <f>"oad02"</f>
        <v>oad02</v>
      </c>
      <c r="AE490" s="10" t="str">
        <f>"Finance &amp; Procurement / Head of Finance &amp; Procurement"</f>
        <v>Finance &amp; Procurement / Head of Finance &amp; Procurement</v>
      </c>
      <c r="AG490" s="10" t="str">
        <f>"25580/1220"</f>
        <v>25580/1220</v>
      </c>
      <c r="AI490" s="10" t="str">
        <f t="shared" si="329"/>
        <v>12prem</v>
      </c>
      <c r="AJ490" s="15" t="str">
        <f>"Electricity Charges - Horsefair PC`s October"</f>
        <v>Electricity Charges - Horsefair PC`s October</v>
      </c>
      <c r="AK490" s="10" t="str">
        <f t="shared" si="321"/>
        <v>Revenue</v>
      </c>
      <c r="AL490" s="10" t="str">
        <f>""</f>
        <v/>
      </c>
      <c r="AM490" s="10" t="str">
        <f>""</f>
        <v/>
      </c>
      <c r="AN490" s="10" t="str">
        <f>""</f>
        <v/>
      </c>
      <c r="AO490" s="10" t="str">
        <f>""</f>
        <v/>
      </c>
    </row>
    <row r="491" spans="1:41" s="10" customFormat="1" ht="409.6">
      <c r="A491" s="9"/>
      <c r="B491" s="9"/>
      <c r="C491" s="9"/>
      <c r="D491" s="10" t="str">
        <f>"31878"</f>
        <v>31878</v>
      </c>
      <c r="E491" s="11" t="str">
        <f>""</f>
        <v/>
      </c>
      <c r="F491" s="11" t="str">
        <f t="shared" si="316"/>
        <v>372418</v>
      </c>
      <c r="G491" s="11" t="str">
        <f t="shared" si="317"/>
        <v>2017toJAN</v>
      </c>
      <c r="H491" s="11" t="str">
        <f t="shared" si="318"/>
        <v>CRSP06B</v>
      </c>
      <c r="I491" s="11" t="str">
        <f t="shared" si="319"/>
        <v>34</v>
      </c>
      <c r="J491" s="11" t="str">
        <f t="shared" si="320"/>
        <v>Creditor</v>
      </c>
      <c r="K491" s="11" t="str">
        <f t="shared" si="322"/>
        <v>CS001873</v>
      </c>
      <c r="L491" s="10" t="str">
        <f t="shared" si="323"/>
        <v>NPower Limted</v>
      </c>
      <c r="M491" s="12" t="str">
        <f t="shared" si="324"/>
        <v>13/01/2017 00:00:00</v>
      </c>
      <c r="N491" s="12">
        <v>42748</v>
      </c>
      <c r="O491" s="10" t="str">
        <f>"C007379"</f>
        <v>C007379</v>
      </c>
      <c r="P491" s="13">
        <v>49.64</v>
      </c>
      <c r="Q491" s="11" t="str">
        <f>"49.6400"</f>
        <v>49.6400</v>
      </c>
      <c r="R491" s="10" t="str">
        <f t="shared" si="325"/>
        <v>C0004412</v>
      </c>
      <c r="S491" s="14" t="str">
        <f t="shared" si="326"/>
        <v>5591.7200</v>
      </c>
      <c r="T491" s="10">
        <v>25580</v>
      </c>
      <c r="U491" s="10">
        <v>1220</v>
      </c>
      <c r="V491" s="10" t="str">
        <f t="shared" si="327"/>
        <v>Energy Costs</v>
      </c>
      <c r="W491" s="10" t="str">
        <f t="shared" si="328"/>
        <v>Premises Related Expenditure</v>
      </c>
      <c r="X491" s="10" t="str">
        <f>VLOOKUP(U491,'[1]Account code lookup'!A:B,2,0)</f>
        <v>Electricity</v>
      </c>
      <c r="Z491" s="10" t="str">
        <f>"Environmental Services"</f>
        <v>Environmental Services</v>
      </c>
      <c r="AA491" s="10" t="str">
        <f>"Operations and Delivery"</f>
        <v>Operations and Delivery</v>
      </c>
      <c r="AB491" s="10" t="str">
        <f>"5oad"</f>
        <v>5oad</v>
      </c>
      <c r="AD491" s="10" t="str">
        <f>"oad02"</f>
        <v>oad02</v>
      </c>
      <c r="AE491" s="10" t="str">
        <f>"Finance &amp; Procurement / Head of Finance &amp; Procurement"</f>
        <v>Finance &amp; Procurement / Head of Finance &amp; Procurement</v>
      </c>
      <c r="AG491" s="10" t="str">
        <f>"25580/1220"</f>
        <v>25580/1220</v>
      </c>
      <c r="AI491" s="10" t="str">
        <f t="shared" si="329"/>
        <v>12prem</v>
      </c>
      <c r="AJ491" s="15" t="str">
        <f>"Electricity Charges - Kidlington PC October"</f>
        <v>Electricity Charges - Kidlington PC October</v>
      </c>
      <c r="AK491" s="10" t="str">
        <f t="shared" si="321"/>
        <v>Revenue</v>
      </c>
      <c r="AL491" s="10" t="str">
        <f>""</f>
        <v/>
      </c>
      <c r="AM491" s="10" t="str">
        <f>""</f>
        <v/>
      </c>
      <c r="AN491" s="10" t="str">
        <f>""</f>
        <v/>
      </c>
      <c r="AO491" s="10" t="str">
        <f>""</f>
        <v/>
      </c>
    </row>
    <row r="492" spans="1:41" s="10" customFormat="1" ht="409.6">
      <c r="A492" s="9"/>
      <c r="B492" s="9"/>
      <c r="C492" s="9"/>
      <c r="D492" s="10" t="str">
        <f>"31880"</f>
        <v>31880</v>
      </c>
      <c r="E492" s="11" t="str">
        <f>""</f>
        <v/>
      </c>
      <c r="F492" s="11" t="str">
        <f t="shared" si="316"/>
        <v>372418</v>
      </c>
      <c r="G492" s="11" t="str">
        <f t="shared" si="317"/>
        <v>2017toJAN</v>
      </c>
      <c r="H492" s="11" t="str">
        <f t="shared" si="318"/>
        <v>CRSP06B</v>
      </c>
      <c r="I492" s="11" t="str">
        <f t="shared" si="319"/>
        <v>34</v>
      </c>
      <c r="J492" s="11" t="str">
        <f t="shared" si="320"/>
        <v>Creditor</v>
      </c>
      <c r="K492" s="11" t="str">
        <f t="shared" si="322"/>
        <v>CS001873</v>
      </c>
      <c r="L492" s="10" t="str">
        <f t="shared" si="323"/>
        <v>NPower Limted</v>
      </c>
      <c r="M492" s="12" t="str">
        <f t="shared" si="324"/>
        <v>13/01/2017 00:00:00</v>
      </c>
      <c r="N492" s="12">
        <v>42748</v>
      </c>
      <c r="O492" s="10" t="str">
        <f>"C007822"</f>
        <v>C007822</v>
      </c>
      <c r="P492" s="13">
        <v>22.41</v>
      </c>
      <c r="Q492" s="11" t="str">
        <f>"22.4100"</f>
        <v>22.4100</v>
      </c>
      <c r="R492" s="10" t="str">
        <f t="shared" si="325"/>
        <v>C0004412</v>
      </c>
      <c r="S492" s="14" t="str">
        <f t="shared" si="326"/>
        <v>5591.7200</v>
      </c>
      <c r="T492" s="10">
        <v>28307</v>
      </c>
      <c r="U492" s="10">
        <v>1220</v>
      </c>
      <c r="V492" s="10" t="str">
        <f t="shared" si="327"/>
        <v>Energy Costs</v>
      </c>
      <c r="W492" s="10" t="str">
        <f t="shared" si="328"/>
        <v>Premises Related Expenditure</v>
      </c>
      <c r="X492" s="10" t="str">
        <f>VLOOKUP(U492,'[1]Account code lookup'!A:B,2,0)</f>
        <v>Electricity</v>
      </c>
      <c r="Z492" s="10" t="str">
        <f t="shared" ref="Z492:Z499" si="330">"Regeneration and Housing"</f>
        <v>Regeneration and Housing</v>
      </c>
      <c r="AA492" s="10" t="str">
        <f t="shared" ref="AA492:AA499" si="331">"Commercial Development"</f>
        <v>Commercial Development</v>
      </c>
      <c r="AB492" s="10" t="str">
        <f t="shared" ref="AB492:AB499" si="332">"2cdb"</f>
        <v>2cdb</v>
      </c>
      <c r="AD492" s="10" t="str">
        <f t="shared" ref="AD492:AD499" si="333">"cdb02"</f>
        <v>cdb02</v>
      </c>
      <c r="AE492" s="10" t="str">
        <f t="shared" ref="AE492:AE493" si="334">"Regeneration &amp; Housing / Delivery Team"</f>
        <v>Regeneration &amp; Housing / Delivery Team</v>
      </c>
      <c r="AG492" s="10" t="str">
        <f>"28307/1220"</f>
        <v>28307/1220</v>
      </c>
      <c r="AI492" s="10" t="str">
        <f t="shared" si="329"/>
        <v>12prem</v>
      </c>
      <c r="AJ492" s="15" t="str">
        <f>"2 Broughton Rd"</f>
        <v>2 Broughton Rd</v>
      </c>
      <c r="AK492" s="10" t="str">
        <f t="shared" si="321"/>
        <v>Revenue</v>
      </c>
      <c r="AL492" s="10" t="str">
        <f>""</f>
        <v/>
      </c>
      <c r="AM492" s="10" t="str">
        <f>""</f>
        <v/>
      </c>
      <c r="AN492" s="10" t="str">
        <f>""</f>
        <v/>
      </c>
      <c r="AO492" s="10" t="str">
        <f>""</f>
        <v/>
      </c>
    </row>
    <row r="493" spans="1:41" s="10" customFormat="1" ht="409.6">
      <c r="A493" s="9"/>
      <c r="B493" s="9"/>
      <c r="C493" s="9"/>
      <c r="D493" s="10" t="str">
        <f>"31881"</f>
        <v>31881</v>
      </c>
      <c r="E493" s="11" t="str">
        <f>""</f>
        <v/>
      </c>
      <c r="F493" s="11" t="str">
        <f t="shared" si="316"/>
        <v>372418</v>
      </c>
      <c r="G493" s="11" t="str">
        <f t="shared" si="317"/>
        <v>2017toJAN</v>
      </c>
      <c r="H493" s="11" t="str">
        <f t="shared" si="318"/>
        <v>CRSP06B</v>
      </c>
      <c r="I493" s="11" t="str">
        <f t="shared" si="319"/>
        <v>34</v>
      </c>
      <c r="J493" s="11" t="str">
        <f t="shared" si="320"/>
        <v>Creditor</v>
      </c>
      <c r="K493" s="11" t="str">
        <f t="shared" si="322"/>
        <v>CS001873</v>
      </c>
      <c r="L493" s="10" t="str">
        <f t="shared" si="323"/>
        <v>NPower Limted</v>
      </c>
      <c r="M493" s="12" t="str">
        <f t="shared" si="324"/>
        <v>13/01/2017 00:00:00</v>
      </c>
      <c r="N493" s="12">
        <v>42748</v>
      </c>
      <c r="O493" s="10" t="str">
        <f>"C007823"</f>
        <v>C007823</v>
      </c>
      <c r="P493" s="13">
        <v>8.92</v>
      </c>
      <c r="Q493" s="11" t="str">
        <f>"8.9200"</f>
        <v>8.9200</v>
      </c>
      <c r="R493" s="10" t="str">
        <f t="shared" si="325"/>
        <v>C0004412</v>
      </c>
      <c r="S493" s="14" t="str">
        <f t="shared" si="326"/>
        <v>5591.7200</v>
      </c>
      <c r="T493" s="10">
        <v>28307</v>
      </c>
      <c r="U493" s="10">
        <v>1220</v>
      </c>
      <c r="V493" s="10" t="str">
        <f t="shared" si="327"/>
        <v>Energy Costs</v>
      </c>
      <c r="W493" s="10" t="str">
        <f t="shared" si="328"/>
        <v>Premises Related Expenditure</v>
      </c>
      <c r="X493" s="10" t="str">
        <f>VLOOKUP(U493,'[1]Account code lookup'!A:B,2,0)</f>
        <v>Electricity</v>
      </c>
      <c r="Z493" s="10" t="str">
        <f t="shared" si="330"/>
        <v>Regeneration and Housing</v>
      </c>
      <c r="AA493" s="10" t="str">
        <f t="shared" si="331"/>
        <v>Commercial Development</v>
      </c>
      <c r="AB493" s="10" t="str">
        <f t="shared" si="332"/>
        <v>2cdb</v>
      </c>
      <c r="AD493" s="10" t="str">
        <f t="shared" si="333"/>
        <v>cdb02</v>
      </c>
      <c r="AE493" s="10" t="str">
        <f t="shared" si="334"/>
        <v>Regeneration &amp; Housing / Delivery Team</v>
      </c>
      <c r="AG493" s="10" t="str">
        <f>"28307/1220"</f>
        <v>28307/1220</v>
      </c>
      <c r="AI493" s="10" t="str">
        <f t="shared" si="329"/>
        <v>12prem</v>
      </c>
      <c r="AJ493" s="15" t="str">
        <f>"2 Broughton Rd"</f>
        <v>2 Broughton Rd</v>
      </c>
      <c r="AK493" s="10" t="str">
        <f t="shared" si="321"/>
        <v>Revenue</v>
      </c>
      <c r="AL493" s="10" t="str">
        <f>""</f>
        <v/>
      </c>
      <c r="AM493" s="10" t="str">
        <f>""</f>
        <v/>
      </c>
      <c r="AN493" s="10" t="str">
        <f>""</f>
        <v/>
      </c>
      <c r="AO493" s="10" t="str">
        <f>""</f>
        <v/>
      </c>
    </row>
    <row r="494" spans="1:41" s="10" customFormat="1" ht="409.6">
      <c r="A494" s="9"/>
      <c r="B494" s="9"/>
      <c r="C494" s="9"/>
      <c r="D494" s="10" t="str">
        <f>"31891"</f>
        <v>31891</v>
      </c>
      <c r="E494" s="11" t="str">
        <f>""</f>
        <v/>
      </c>
      <c r="F494" s="11" t="str">
        <f t="shared" si="316"/>
        <v>372418</v>
      </c>
      <c r="G494" s="11" t="str">
        <f t="shared" si="317"/>
        <v>2017toJAN</v>
      </c>
      <c r="H494" s="11" t="str">
        <f t="shared" si="318"/>
        <v>CRSP06B</v>
      </c>
      <c r="I494" s="11" t="str">
        <f t="shared" si="319"/>
        <v>34</v>
      </c>
      <c r="J494" s="11" t="str">
        <f t="shared" si="320"/>
        <v>Creditor</v>
      </c>
      <c r="K494" s="11" t="str">
        <f t="shared" si="322"/>
        <v>CS001873</v>
      </c>
      <c r="L494" s="10" t="str">
        <f t="shared" si="323"/>
        <v>NPower Limted</v>
      </c>
      <c r="M494" s="12" t="str">
        <f t="shared" si="324"/>
        <v>13/01/2017 00:00:00</v>
      </c>
      <c r="N494" s="12">
        <v>42748</v>
      </c>
      <c r="O494" s="10" t="str">
        <f>"C007335"</f>
        <v>C007335</v>
      </c>
      <c r="P494" s="13">
        <v>1500.13</v>
      </c>
      <c r="Q494" s="11" t="str">
        <f>"1500.1300"</f>
        <v>1500.1300</v>
      </c>
      <c r="R494" s="10" t="str">
        <f t="shared" si="325"/>
        <v>C0004412</v>
      </c>
      <c r="S494" s="14" t="str">
        <f t="shared" si="326"/>
        <v>5591.7200</v>
      </c>
      <c r="T494" s="10">
        <v>31012</v>
      </c>
      <c r="U494" s="10">
        <v>1220</v>
      </c>
      <c r="V494" s="10" t="str">
        <f t="shared" si="327"/>
        <v>Energy Costs</v>
      </c>
      <c r="W494" s="10" t="str">
        <f t="shared" si="328"/>
        <v>Premises Related Expenditure</v>
      </c>
      <c r="X494" s="10" t="str">
        <f>VLOOKUP(U494,'[1]Account code lookup'!A:B,2,0)</f>
        <v>Electricity</v>
      </c>
      <c r="Z494" s="10" t="str">
        <f t="shared" si="330"/>
        <v>Regeneration and Housing</v>
      </c>
      <c r="AA494" s="10" t="str">
        <f t="shared" si="331"/>
        <v>Commercial Development</v>
      </c>
      <c r="AB494" s="10" t="str">
        <f t="shared" si="332"/>
        <v>2cdb</v>
      </c>
      <c r="AD494" s="10" t="str">
        <f t="shared" si="333"/>
        <v>cdb02</v>
      </c>
      <c r="AE494" s="10" t="str">
        <f>"Finance &amp; Procurement / Head of Finance &amp; Procurement"</f>
        <v>Finance &amp; Procurement / Head of Finance &amp; Procurement</v>
      </c>
      <c r="AG494" s="10" t="str">
        <f t="shared" ref="AG494:AG499" si="335">"31012/1220"</f>
        <v>31012/1220</v>
      </c>
      <c r="AI494" s="10" t="str">
        <f t="shared" si="329"/>
        <v>12prem</v>
      </c>
      <c r="AJ494" s="15" t="str">
        <f>"Electricity Charges - Banbury Museum November"</f>
        <v>Electricity Charges - Banbury Museum November</v>
      </c>
      <c r="AK494" s="10" t="str">
        <f t="shared" si="321"/>
        <v>Revenue</v>
      </c>
      <c r="AL494" s="10" t="str">
        <f>""</f>
        <v/>
      </c>
      <c r="AM494" s="10" t="str">
        <f>""</f>
        <v/>
      </c>
      <c r="AN494" s="10" t="str">
        <f>""</f>
        <v/>
      </c>
      <c r="AO494" s="10" t="str">
        <f>""</f>
        <v/>
      </c>
    </row>
    <row r="495" spans="1:41" s="10" customFormat="1" ht="409.6">
      <c r="A495" s="9"/>
      <c r="B495" s="9"/>
      <c r="C495" s="9"/>
      <c r="D495" s="10" t="str">
        <f>"31892"</f>
        <v>31892</v>
      </c>
      <c r="E495" s="11" t="str">
        <f>""</f>
        <v/>
      </c>
      <c r="F495" s="11" t="str">
        <f t="shared" si="316"/>
        <v>372418</v>
      </c>
      <c r="G495" s="11" t="str">
        <f t="shared" si="317"/>
        <v>2017toJAN</v>
      </c>
      <c r="H495" s="11" t="str">
        <f t="shared" si="318"/>
        <v>CRSP06B</v>
      </c>
      <c r="I495" s="11" t="str">
        <f t="shared" si="319"/>
        <v>34</v>
      </c>
      <c r="J495" s="11" t="str">
        <f t="shared" si="320"/>
        <v>Creditor</v>
      </c>
      <c r="K495" s="11" t="str">
        <f t="shared" si="322"/>
        <v>CS001873</v>
      </c>
      <c r="L495" s="10" t="str">
        <f t="shared" si="323"/>
        <v>NPower Limted</v>
      </c>
      <c r="M495" s="12" t="str">
        <f t="shared" si="324"/>
        <v>13/01/2017 00:00:00</v>
      </c>
      <c r="N495" s="12">
        <v>42748</v>
      </c>
      <c r="O495" s="10" t="str">
        <f>"C007377"</f>
        <v>C007377</v>
      </c>
      <c r="P495" s="13">
        <v>8162.07</v>
      </c>
      <c r="Q495" s="11" t="str">
        <f>"8162.0700"</f>
        <v>8162.0700</v>
      </c>
      <c r="R495" s="10" t="str">
        <f t="shared" si="325"/>
        <v>C0004412</v>
      </c>
      <c r="S495" s="14" t="str">
        <f t="shared" si="326"/>
        <v>5591.7200</v>
      </c>
      <c r="T495" s="10">
        <v>31012</v>
      </c>
      <c r="U495" s="10">
        <v>1220</v>
      </c>
      <c r="V495" s="10" t="str">
        <f t="shared" si="327"/>
        <v>Energy Costs</v>
      </c>
      <c r="W495" s="10" t="str">
        <f t="shared" si="328"/>
        <v>Premises Related Expenditure</v>
      </c>
      <c r="X495" s="10" t="str">
        <f>VLOOKUP(U495,'[1]Account code lookup'!A:B,2,0)</f>
        <v>Electricity</v>
      </c>
      <c r="Z495" s="10" t="str">
        <f t="shared" si="330"/>
        <v>Regeneration and Housing</v>
      </c>
      <c r="AA495" s="10" t="str">
        <f t="shared" si="331"/>
        <v>Commercial Development</v>
      </c>
      <c r="AB495" s="10" t="str">
        <f t="shared" si="332"/>
        <v>2cdb</v>
      </c>
      <c r="AD495" s="10" t="str">
        <f t="shared" si="333"/>
        <v>cdb02</v>
      </c>
      <c r="AE495" s="10" t="str">
        <f>"Finance &amp; Procurement / Head of Finance &amp; Procurement"</f>
        <v>Finance &amp; Procurement / Head of Finance &amp; Procurement</v>
      </c>
      <c r="AG495" s="10" t="str">
        <f t="shared" si="335"/>
        <v>31012/1220</v>
      </c>
      <c r="AI495" s="10" t="str">
        <f t="shared" si="329"/>
        <v>12prem</v>
      </c>
      <c r="AJ495" s="15" t="str">
        <f>"Electricity Charges - Bodicote House November"</f>
        <v>Electricity Charges - Bodicote House November</v>
      </c>
      <c r="AK495" s="10" t="str">
        <f t="shared" si="321"/>
        <v>Revenue</v>
      </c>
      <c r="AL495" s="10" t="str">
        <f>""</f>
        <v/>
      </c>
      <c r="AM495" s="10" t="str">
        <f>""</f>
        <v/>
      </c>
      <c r="AN495" s="10" t="str">
        <f>""</f>
        <v/>
      </c>
      <c r="AO495" s="10" t="str">
        <f>""</f>
        <v/>
      </c>
    </row>
    <row r="496" spans="1:41" s="10" customFormat="1" ht="409.6">
      <c r="A496" s="9"/>
      <c r="B496" s="9"/>
      <c r="C496" s="9"/>
      <c r="D496" s="10" t="str">
        <f>"31893"</f>
        <v>31893</v>
      </c>
      <c r="E496" s="11" t="str">
        <f>""</f>
        <v/>
      </c>
      <c r="F496" s="11" t="str">
        <f t="shared" si="316"/>
        <v>372418</v>
      </c>
      <c r="G496" s="11" t="str">
        <f t="shared" si="317"/>
        <v>2017toJAN</v>
      </c>
      <c r="H496" s="11" t="str">
        <f t="shared" si="318"/>
        <v>CRSP06B</v>
      </c>
      <c r="I496" s="11" t="str">
        <f t="shared" si="319"/>
        <v>34</v>
      </c>
      <c r="J496" s="11" t="str">
        <f t="shared" si="320"/>
        <v>Creditor</v>
      </c>
      <c r="K496" s="11" t="str">
        <f t="shared" si="322"/>
        <v>CS001873</v>
      </c>
      <c r="L496" s="10" t="str">
        <f t="shared" si="323"/>
        <v>NPower Limted</v>
      </c>
      <c r="M496" s="12" t="str">
        <f>"16/01/2017 00:00:00"</f>
        <v>16/01/2017 00:00:00</v>
      </c>
      <c r="N496" s="12">
        <v>42751</v>
      </c>
      <c r="O496" s="10" t="str">
        <f>"C007303"</f>
        <v>C007303</v>
      </c>
      <c r="P496" s="13">
        <v>580.30999999999995</v>
      </c>
      <c r="Q496" s="11" t="str">
        <f>"580.3100"</f>
        <v>580.3100</v>
      </c>
      <c r="R496" s="10" t="str">
        <f>"C0004444"</f>
        <v>C0004444</v>
      </c>
      <c r="S496" s="14" t="str">
        <f>"2403.2500"</f>
        <v>2403.2500</v>
      </c>
      <c r="T496" s="10">
        <v>31012</v>
      </c>
      <c r="U496" s="10">
        <v>1220</v>
      </c>
      <c r="V496" s="10" t="str">
        <f t="shared" si="327"/>
        <v>Energy Costs</v>
      </c>
      <c r="W496" s="10" t="str">
        <f t="shared" si="328"/>
        <v>Premises Related Expenditure</v>
      </c>
      <c r="X496" s="10" t="str">
        <f>VLOOKUP(U496,'[1]Account code lookup'!A:B,2,0)</f>
        <v>Electricity</v>
      </c>
      <c r="Z496" s="10" t="str">
        <f t="shared" si="330"/>
        <v>Regeneration and Housing</v>
      </c>
      <c r="AA496" s="10" t="str">
        <f t="shared" si="331"/>
        <v>Commercial Development</v>
      </c>
      <c r="AB496" s="10" t="str">
        <f t="shared" si="332"/>
        <v>2cdb</v>
      </c>
      <c r="AD496" s="10" t="str">
        <f t="shared" si="333"/>
        <v>cdb02</v>
      </c>
      <c r="AE496" s="10" t="str">
        <f>"Regeneration &amp; Housing / Assets &amp; Facilities Management"</f>
        <v>Regeneration &amp; Housing / Assets &amp; Facilities Management</v>
      </c>
      <c r="AG496" s="10" t="str">
        <f t="shared" si="335"/>
        <v>31012/1220</v>
      </c>
      <c r="AI496" s="10" t="str">
        <f t="shared" si="329"/>
        <v>12prem</v>
      </c>
      <c r="AJ496" s="15" t="str">
        <f>"38 Market Sq"</f>
        <v>38 Market Sq</v>
      </c>
      <c r="AK496" s="10" t="str">
        <f t="shared" si="321"/>
        <v>Revenue</v>
      </c>
      <c r="AL496" s="10" t="str">
        <f>""</f>
        <v/>
      </c>
      <c r="AM496" s="10" t="str">
        <f>""</f>
        <v/>
      </c>
      <c r="AN496" s="10" t="str">
        <f>""</f>
        <v/>
      </c>
      <c r="AO496" s="10" t="str">
        <f>""</f>
        <v/>
      </c>
    </row>
    <row r="497" spans="1:41" s="10" customFormat="1" ht="409.6">
      <c r="A497" s="9"/>
      <c r="B497" s="9"/>
      <c r="C497" s="9"/>
      <c r="D497" s="10" t="str">
        <f>"31894"</f>
        <v>31894</v>
      </c>
      <c r="E497" s="11" t="str">
        <f>""</f>
        <v/>
      </c>
      <c r="F497" s="11" t="str">
        <f t="shared" si="316"/>
        <v>372418</v>
      </c>
      <c r="G497" s="11" t="str">
        <f t="shared" si="317"/>
        <v>2017toJAN</v>
      </c>
      <c r="H497" s="11" t="str">
        <f t="shared" si="318"/>
        <v>CRSP06B</v>
      </c>
      <c r="I497" s="11" t="str">
        <f t="shared" si="319"/>
        <v>34</v>
      </c>
      <c r="J497" s="11" t="str">
        <f t="shared" si="320"/>
        <v>Creditor</v>
      </c>
      <c r="K497" s="11" t="str">
        <f t="shared" si="322"/>
        <v>CS001873</v>
      </c>
      <c r="L497" s="10" t="str">
        <f t="shared" si="323"/>
        <v>NPower Limted</v>
      </c>
      <c r="M497" s="12" t="str">
        <f>"16/01/2017 00:00:00"</f>
        <v>16/01/2017 00:00:00</v>
      </c>
      <c r="N497" s="12">
        <v>42751</v>
      </c>
      <c r="O497" s="10" t="str">
        <f>"C007304"</f>
        <v>C007304</v>
      </c>
      <c r="P497" s="13">
        <v>492.65</v>
      </c>
      <c r="Q497" s="11" t="str">
        <f>"492.6500"</f>
        <v>492.6500</v>
      </c>
      <c r="R497" s="10" t="str">
        <f>"C0004444"</f>
        <v>C0004444</v>
      </c>
      <c r="S497" s="14" t="str">
        <f>"2403.2500"</f>
        <v>2403.2500</v>
      </c>
      <c r="T497" s="10">
        <v>31012</v>
      </c>
      <c r="U497" s="10">
        <v>1220</v>
      </c>
      <c r="V497" s="10" t="str">
        <f t="shared" si="327"/>
        <v>Energy Costs</v>
      </c>
      <c r="W497" s="10" t="str">
        <f t="shared" si="328"/>
        <v>Premises Related Expenditure</v>
      </c>
      <c r="X497" s="10" t="str">
        <f>VLOOKUP(U497,'[1]Account code lookup'!A:B,2,0)</f>
        <v>Electricity</v>
      </c>
      <c r="Z497" s="10" t="str">
        <f t="shared" si="330"/>
        <v>Regeneration and Housing</v>
      </c>
      <c r="AA497" s="10" t="str">
        <f t="shared" si="331"/>
        <v>Commercial Development</v>
      </c>
      <c r="AB497" s="10" t="str">
        <f t="shared" si="332"/>
        <v>2cdb</v>
      </c>
      <c r="AD497" s="10" t="str">
        <f t="shared" si="333"/>
        <v>cdb02</v>
      </c>
      <c r="AE497" s="10" t="str">
        <f>"Regeneration &amp; Housing / Assets &amp; Facilities Management"</f>
        <v>Regeneration &amp; Housing / Assets &amp; Facilities Management</v>
      </c>
      <c r="AG497" s="10" t="str">
        <f t="shared" si="335"/>
        <v>31012/1220</v>
      </c>
      <c r="AI497" s="10" t="str">
        <f t="shared" si="329"/>
        <v>12prem</v>
      </c>
      <c r="AJ497" s="15" t="str">
        <f>"38 Market Sq"</f>
        <v>38 Market Sq</v>
      </c>
      <c r="AK497" s="10" t="str">
        <f t="shared" si="321"/>
        <v>Revenue</v>
      </c>
      <c r="AL497" s="10" t="str">
        <f>""</f>
        <v/>
      </c>
      <c r="AM497" s="10" t="str">
        <f>""</f>
        <v/>
      </c>
      <c r="AN497" s="10" t="str">
        <f>""</f>
        <v/>
      </c>
      <c r="AO497" s="10" t="str">
        <f>""</f>
        <v/>
      </c>
    </row>
    <row r="498" spans="1:41" s="10" customFormat="1" ht="409.6">
      <c r="A498" s="9"/>
      <c r="B498" s="9"/>
      <c r="C498" s="9"/>
      <c r="D498" s="10" t="str">
        <f>"31895"</f>
        <v>31895</v>
      </c>
      <c r="E498" s="11" t="str">
        <f>""</f>
        <v/>
      </c>
      <c r="F498" s="11" t="str">
        <f t="shared" si="316"/>
        <v>372418</v>
      </c>
      <c r="G498" s="11" t="str">
        <f t="shared" si="317"/>
        <v>2017toJAN</v>
      </c>
      <c r="H498" s="11" t="str">
        <f t="shared" si="318"/>
        <v>CRSP06B</v>
      </c>
      <c r="I498" s="11" t="str">
        <f t="shared" si="319"/>
        <v>34</v>
      </c>
      <c r="J498" s="11" t="str">
        <f t="shared" si="320"/>
        <v>Creditor</v>
      </c>
      <c r="K498" s="11" t="str">
        <f t="shared" si="322"/>
        <v>CS001873</v>
      </c>
      <c r="L498" s="10" t="str">
        <f t="shared" si="323"/>
        <v>NPower Limted</v>
      </c>
      <c r="M498" s="12" t="str">
        <f>"16/01/2017 00:00:00"</f>
        <v>16/01/2017 00:00:00</v>
      </c>
      <c r="N498" s="12">
        <v>42751</v>
      </c>
      <c r="O498" s="10" t="str">
        <f>"C007305"</f>
        <v>C007305</v>
      </c>
      <c r="P498" s="13">
        <v>487.17</v>
      </c>
      <c r="Q498" s="11" t="str">
        <f>"487.1700"</f>
        <v>487.1700</v>
      </c>
      <c r="R498" s="10" t="str">
        <f>"C0004444"</f>
        <v>C0004444</v>
      </c>
      <c r="S498" s="14" t="str">
        <f>"2403.2500"</f>
        <v>2403.2500</v>
      </c>
      <c r="T498" s="10">
        <v>31012</v>
      </c>
      <c r="U498" s="10">
        <v>1220</v>
      </c>
      <c r="V498" s="10" t="str">
        <f t="shared" si="327"/>
        <v>Energy Costs</v>
      </c>
      <c r="W498" s="10" t="str">
        <f t="shared" si="328"/>
        <v>Premises Related Expenditure</v>
      </c>
      <c r="X498" s="10" t="str">
        <f>VLOOKUP(U498,'[1]Account code lookup'!A:B,2,0)</f>
        <v>Electricity</v>
      </c>
      <c r="Z498" s="10" t="str">
        <f t="shared" si="330"/>
        <v>Regeneration and Housing</v>
      </c>
      <c r="AA498" s="10" t="str">
        <f t="shared" si="331"/>
        <v>Commercial Development</v>
      </c>
      <c r="AB498" s="10" t="str">
        <f t="shared" si="332"/>
        <v>2cdb</v>
      </c>
      <c r="AD498" s="10" t="str">
        <f t="shared" si="333"/>
        <v>cdb02</v>
      </c>
      <c r="AE498" s="10" t="str">
        <f>"Regeneration &amp; Housing / Assets &amp; Facilities Management"</f>
        <v>Regeneration &amp; Housing / Assets &amp; Facilities Management</v>
      </c>
      <c r="AG498" s="10" t="str">
        <f t="shared" si="335"/>
        <v>31012/1220</v>
      </c>
      <c r="AI498" s="10" t="str">
        <f t="shared" si="329"/>
        <v>12prem</v>
      </c>
      <c r="AJ498" s="15" t="str">
        <f>"38 market Sq"</f>
        <v>38 market Sq</v>
      </c>
      <c r="AK498" s="10" t="str">
        <f t="shared" si="321"/>
        <v>Revenue</v>
      </c>
      <c r="AL498" s="10" t="str">
        <f>""</f>
        <v/>
      </c>
      <c r="AM498" s="10" t="str">
        <f>""</f>
        <v/>
      </c>
      <c r="AN498" s="10" t="str">
        <f>""</f>
        <v/>
      </c>
      <c r="AO498" s="10" t="str">
        <f>""</f>
        <v/>
      </c>
    </row>
    <row r="499" spans="1:41" s="10" customFormat="1" ht="409.6">
      <c r="A499" s="9"/>
      <c r="B499" s="9"/>
      <c r="C499" s="9"/>
      <c r="D499" s="10" t="str">
        <f>"31896"</f>
        <v>31896</v>
      </c>
      <c r="E499" s="11" t="str">
        <f>""</f>
        <v/>
      </c>
      <c r="F499" s="11" t="str">
        <f t="shared" si="316"/>
        <v>372418</v>
      </c>
      <c r="G499" s="11" t="str">
        <f t="shared" si="317"/>
        <v>2017toJAN</v>
      </c>
      <c r="H499" s="11" t="str">
        <f t="shared" si="318"/>
        <v>CRSP06B</v>
      </c>
      <c r="I499" s="11" t="str">
        <f t="shared" si="319"/>
        <v>34</v>
      </c>
      <c r="J499" s="11" t="str">
        <f t="shared" si="320"/>
        <v>Creditor</v>
      </c>
      <c r="K499" s="11" t="str">
        <f t="shared" si="322"/>
        <v>CS001873</v>
      </c>
      <c r="L499" s="10" t="str">
        <f t="shared" si="323"/>
        <v>NPower Limted</v>
      </c>
      <c r="M499" s="12" t="str">
        <f>"16/01/2017 00:00:00"</f>
        <v>16/01/2017 00:00:00</v>
      </c>
      <c r="N499" s="12">
        <v>42751</v>
      </c>
      <c r="O499" s="10" t="str">
        <f>"C007306"</f>
        <v>C007306</v>
      </c>
      <c r="P499" s="13">
        <v>442.58</v>
      </c>
      <c r="Q499" s="11" t="str">
        <f>"442.5800"</f>
        <v>442.5800</v>
      </c>
      <c r="R499" s="10" t="str">
        <f>"C0004444"</f>
        <v>C0004444</v>
      </c>
      <c r="S499" s="14" t="str">
        <f>"2403.2500"</f>
        <v>2403.2500</v>
      </c>
      <c r="T499" s="10">
        <v>31012</v>
      </c>
      <c r="U499" s="10">
        <v>1220</v>
      </c>
      <c r="V499" s="10" t="str">
        <f t="shared" si="327"/>
        <v>Energy Costs</v>
      </c>
      <c r="W499" s="10" t="str">
        <f t="shared" si="328"/>
        <v>Premises Related Expenditure</v>
      </c>
      <c r="X499" s="10" t="str">
        <f>VLOOKUP(U499,'[1]Account code lookup'!A:B,2,0)</f>
        <v>Electricity</v>
      </c>
      <c r="Z499" s="10" t="str">
        <f t="shared" si="330"/>
        <v>Regeneration and Housing</v>
      </c>
      <c r="AA499" s="10" t="str">
        <f t="shared" si="331"/>
        <v>Commercial Development</v>
      </c>
      <c r="AB499" s="10" t="str">
        <f t="shared" si="332"/>
        <v>2cdb</v>
      </c>
      <c r="AD499" s="10" t="str">
        <f t="shared" si="333"/>
        <v>cdb02</v>
      </c>
      <c r="AE499" s="10" t="str">
        <f>"Regeneration &amp; Housing / Assets &amp; Facilities Management"</f>
        <v>Regeneration &amp; Housing / Assets &amp; Facilities Management</v>
      </c>
      <c r="AG499" s="10" t="str">
        <f t="shared" si="335"/>
        <v>31012/1220</v>
      </c>
      <c r="AI499" s="10" t="str">
        <f t="shared" si="329"/>
        <v>12prem</v>
      </c>
      <c r="AJ499" s="15" t="str">
        <f>"38 Market Sq"</f>
        <v>38 Market Sq</v>
      </c>
      <c r="AK499" s="10" t="str">
        <f t="shared" si="321"/>
        <v>Revenue</v>
      </c>
      <c r="AL499" s="10" t="str">
        <f>""</f>
        <v/>
      </c>
      <c r="AM499" s="10" t="str">
        <f>""</f>
        <v/>
      </c>
      <c r="AN499" s="10" t="str">
        <f>""</f>
        <v/>
      </c>
      <c r="AO499" s="10" t="str">
        <f>""</f>
        <v/>
      </c>
    </row>
    <row r="500" spans="1:41" s="10" customFormat="1" ht="409.6">
      <c r="A500" s="9"/>
      <c r="B500" s="9"/>
      <c r="C500" s="9"/>
      <c r="D500" s="10" t="str">
        <f>"31897"</f>
        <v>31897</v>
      </c>
      <c r="E500" s="11" t="str">
        <f>""</f>
        <v/>
      </c>
      <c r="F500" s="11" t="str">
        <f t="shared" si="316"/>
        <v>372418</v>
      </c>
      <c r="G500" s="11" t="str">
        <f t="shared" si="317"/>
        <v>2017toJAN</v>
      </c>
      <c r="H500" s="11" t="str">
        <f t="shared" si="318"/>
        <v>CRSP06B</v>
      </c>
      <c r="I500" s="11" t="str">
        <f t="shared" si="319"/>
        <v>34</v>
      </c>
      <c r="J500" s="11" t="str">
        <f t="shared" si="320"/>
        <v>Creditor</v>
      </c>
      <c r="K500" s="11" t="str">
        <f>"CS001914"</f>
        <v>CS001914</v>
      </c>
      <c r="L500" s="10" t="str">
        <f>"Odgers Interim"</f>
        <v>Odgers Interim</v>
      </c>
      <c r="M500" s="12" t="str">
        <f>"25/01/2017 00:00:00"</f>
        <v>25/01/2017 00:00:00</v>
      </c>
      <c r="N500" s="12">
        <v>42760</v>
      </c>
      <c r="O500" s="10" t="str">
        <f>"C007703"</f>
        <v>C007703</v>
      </c>
      <c r="P500" s="13">
        <v>9100</v>
      </c>
      <c r="Q500" s="11" t="str">
        <f>"9100.0000"</f>
        <v>9100.0000</v>
      </c>
      <c r="R500" s="10" t="str">
        <f>"C0004562"</f>
        <v>C0004562</v>
      </c>
      <c r="S500" s="14" t="str">
        <f>"10920.0000"</f>
        <v>10920.0000</v>
      </c>
      <c r="T500" s="10">
        <v>21747</v>
      </c>
      <c r="U500" s="10">
        <v>1136</v>
      </c>
      <c r="V500" s="10" t="str">
        <f>"Direct employee exps and bens"</f>
        <v>Direct employee exps and bens</v>
      </c>
      <c r="W500" s="10" t="str">
        <f>"Employees"</f>
        <v>Employees</v>
      </c>
      <c r="X500" s="10" t="str">
        <f>VLOOKUP(U500,'[1]Account code lookup'!A:B,2,0)</f>
        <v>Agency Staff</v>
      </c>
      <c r="Z500" s="10" t="str">
        <f>"Finance and Procurement"</f>
        <v>Finance and Procurement</v>
      </c>
      <c r="AA500" s="10" t="str">
        <f>"Chief Finance Officer"</f>
        <v>Chief Finance Officer</v>
      </c>
      <c r="AB500" s="10" t="str">
        <f>"3cfo"</f>
        <v>3cfo</v>
      </c>
      <c r="AD500" s="10" t="str">
        <f>"cfo02"</f>
        <v>cfo02</v>
      </c>
      <c r="AE500" s="10" t="str">
        <f>"Finance &amp; Procurement / Finance"</f>
        <v>Finance &amp; Procurement / Finance</v>
      </c>
      <c r="AG500" s="10" t="str">
        <f>"21747/1136"</f>
        <v>21747/1136</v>
      </c>
      <c r="AI500" s="10" t="str">
        <f>"11emps"</f>
        <v>11emps</v>
      </c>
      <c r="AJ500" s="15" t="str">
        <f>"Hire of George Hill -  Interim Finance Manager for the period 22nd August 2016 to 31st December 2016"</f>
        <v>Hire of George Hill -  Interim Finance Manager for the period 22nd August 2016 to 31st December 2016</v>
      </c>
      <c r="AK500" s="10" t="str">
        <f t="shared" si="321"/>
        <v>Revenue</v>
      </c>
      <c r="AL500" s="10" t="str">
        <f>""</f>
        <v/>
      </c>
      <c r="AM500" s="10" t="str">
        <f>""</f>
        <v/>
      </c>
      <c r="AN500" s="10" t="str">
        <f>""</f>
        <v/>
      </c>
      <c r="AO500" s="10" t="str">
        <f>""</f>
        <v/>
      </c>
    </row>
    <row r="501" spans="1:41" s="10" customFormat="1" ht="409.6">
      <c r="A501" s="9"/>
      <c r="B501" s="9"/>
      <c r="C501" s="9"/>
      <c r="D501" s="10" t="str">
        <f>"31898"</f>
        <v>31898</v>
      </c>
      <c r="E501" s="11" t="str">
        <f>""</f>
        <v/>
      </c>
      <c r="F501" s="11" t="str">
        <f t="shared" si="316"/>
        <v>372418</v>
      </c>
      <c r="G501" s="11" t="str">
        <f t="shared" si="317"/>
        <v>2017toJAN</v>
      </c>
      <c r="H501" s="11" t="str">
        <f t="shared" si="318"/>
        <v>CRSP06B</v>
      </c>
      <c r="I501" s="11" t="str">
        <f t="shared" si="319"/>
        <v>34</v>
      </c>
      <c r="J501" s="11" t="str">
        <f t="shared" si="320"/>
        <v>Creditor</v>
      </c>
      <c r="K501" s="11" t="str">
        <f>"CS001921"</f>
        <v>CS001921</v>
      </c>
      <c r="L501" s="10" t="str">
        <f>"Open Reality Ltd"</f>
        <v>Open Reality Ltd</v>
      </c>
      <c r="M501" s="12" t="str">
        <f>"09/01/2017 00:00:00"</f>
        <v>09/01/2017 00:00:00</v>
      </c>
      <c r="N501" s="12">
        <v>42744</v>
      </c>
      <c r="O501" s="10" t="str">
        <f>"C007146"</f>
        <v>C007146</v>
      </c>
      <c r="P501" s="13">
        <v>280.06</v>
      </c>
      <c r="Q501" s="11" t="str">
        <f>"280.0600"</f>
        <v>280.0600</v>
      </c>
      <c r="R501" s="10" t="str">
        <f>"C0004337"</f>
        <v>C0004337</v>
      </c>
      <c r="S501" s="14" t="str">
        <f>"12283.4500"</f>
        <v>12283.4500</v>
      </c>
      <c r="T501" s="10">
        <v>21733</v>
      </c>
      <c r="U501" s="10">
        <v>1516</v>
      </c>
      <c r="V501" s="10" t="str">
        <f>"Communications and computing"</f>
        <v>Communications and computing</v>
      </c>
      <c r="W501" s="10" t="str">
        <f>"Supplies and Services"</f>
        <v>Supplies and Services</v>
      </c>
      <c r="X501" s="10" t="str">
        <f>VLOOKUP(U501,'[1]Account code lookup'!A:B,2,0)</f>
        <v>Computer Software, Licensing &amp; Maintenan</v>
      </c>
      <c r="Z501" s="10" t="str">
        <f>"Information Services"</f>
        <v>Information Services</v>
      </c>
      <c r="AA501" s="10" t="str">
        <f>"Commercial Development"</f>
        <v>Commercial Development</v>
      </c>
      <c r="AB501" s="10" t="str">
        <f>"2cdb"</f>
        <v>2cdb</v>
      </c>
      <c r="AD501" s="10" t="str">
        <f>"cdb04"</f>
        <v>cdb04</v>
      </c>
      <c r="AE501" s="10" t="str">
        <f>"Finance &amp; Procurement / Finance"</f>
        <v>Finance &amp; Procurement / Finance</v>
      </c>
      <c r="AG501" s="10" t="str">
        <f>"21733/1516"</f>
        <v>21733/1516</v>
      </c>
      <c r="AI501" s="10" t="str">
        <f>"14suse"</f>
        <v>14suse</v>
      </c>
      <c r="AJ501" s="15" t="str">
        <f>"Citrix NetScaler Gateway Enterprise VPX (2)_x000D_
Part Code:  LA-0001695016-03174"</f>
        <v>Citrix NetScaler Gateway Enterprise VPX (2)_x000D_
Part Code:  LA-0001695016-03174</v>
      </c>
      <c r="AK501" s="10" t="str">
        <f t="shared" si="321"/>
        <v>Revenue</v>
      </c>
      <c r="AL501" s="10" t="str">
        <f>""</f>
        <v/>
      </c>
      <c r="AM501" s="10" t="str">
        <f>""</f>
        <v/>
      </c>
      <c r="AN501" s="10" t="str">
        <f>""</f>
        <v/>
      </c>
      <c r="AO501" s="10" t="str">
        <f>""</f>
        <v/>
      </c>
    </row>
    <row r="502" spans="1:41" s="10" customFormat="1" ht="409.6">
      <c r="A502" s="9"/>
      <c r="B502" s="9"/>
      <c r="C502" s="9"/>
      <c r="D502" s="10" t="str">
        <f>"31899"</f>
        <v>31899</v>
      </c>
      <c r="E502" s="11" t="str">
        <f>""</f>
        <v/>
      </c>
      <c r="F502" s="11" t="str">
        <f t="shared" si="316"/>
        <v>372418</v>
      </c>
      <c r="G502" s="11" t="str">
        <f t="shared" si="317"/>
        <v>2017toJAN</v>
      </c>
      <c r="H502" s="11" t="str">
        <f t="shared" si="318"/>
        <v>CRSP06B</v>
      </c>
      <c r="I502" s="11" t="str">
        <f t="shared" si="319"/>
        <v>34</v>
      </c>
      <c r="J502" s="11" t="str">
        <f t="shared" si="320"/>
        <v>Creditor</v>
      </c>
      <c r="K502" s="11" t="str">
        <f>"CS001921"</f>
        <v>CS001921</v>
      </c>
      <c r="L502" s="10" t="str">
        <f>"Open Reality Ltd"</f>
        <v>Open Reality Ltd</v>
      </c>
      <c r="M502" s="12" t="str">
        <f>"09/01/2017 00:00:00"</f>
        <v>09/01/2017 00:00:00</v>
      </c>
      <c r="N502" s="12">
        <v>42744</v>
      </c>
      <c r="O502" s="10" t="str">
        <f>"C007146"</f>
        <v>C007146</v>
      </c>
      <c r="P502" s="13">
        <v>9921.15</v>
      </c>
      <c r="Q502" s="11" t="str">
        <f>"9921.1500"</f>
        <v>9921.1500</v>
      </c>
      <c r="R502" s="10" t="str">
        <f>"C0004337"</f>
        <v>C0004337</v>
      </c>
      <c r="S502" s="14" t="str">
        <f>"12283.4500"</f>
        <v>12283.4500</v>
      </c>
      <c r="T502" s="10">
        <v>21733</v>
      </c>
      <c r="U502" s="10">
        <v>1516</v>
      </c>
      <c r="V502" s="10" t="str">
        <f>"Communications and computing"</f>
        <v>Communications and computing</v>
      </c>
      <c r="W502" s="10" t="str">
        <f>"Supplies and Services"</f>
        <v>Supplies and Services</v>
      </c>
      <c r="X502" s="10" t="str">
        <f>VLOOKUP(U502,'[1]Account code lookup'!A:B,2,0)</f>
        <v>Computer Software, Licensing &amp; Maintenan</v>
      </c>
      <c r="Z502" s="10" t="str">
        <f>"Information Services"</f>
        <v>Information Services</v>
      </c>
      <c r="AA502" s="10" t="str">
        <f>"Commercial Development"</f>
        <v>Commercial Development</v>
      </c>
      <c r="AB502" s="10" t="str">
        <f>"2cdb"</f>
        <v>2cdb</v>
      </c>
      <c r="AD502" s="10" t="str">
        <f>"cdb04"</f>
        <v>cdb04</v>
      </c>
      <c r="AE502" s="10" t="str">
        <f>"Finance &amp; Procurement / Finance"</f>
        <v>Finance &amp; Procurement / Finance</v>
      </c>
      <c r="AG502" s="10" t="str">
        <f>"21733/1516"</f>
        <v>21733/1516</v>
      </c>
      <c r="AI502" s="10" t="str">
        <f>"14suse"</f>
        <v>14suse</v>
      </c>
      <c r="AJ502" s="15" t="str">
        <f>"Citrix XenApp (Presentation Server) Enterprise (240)_x000D_
Part No.  LA-0001863651-17023"</f>
        <v>Citrix XenApp (Presentation Server) Enterprise (240)_x000D_
Part No.  LA-0001863651-17023</v>
      </c>
      <c r="AK502" s="10" t="str">
        <f t="shared" si="321"/>
        <v>Revenue</v>
      </c>
      <c r="AL502" s="10" t="str">
        <f>""</f>
        <v/>
      </c>
      <c r="AM502" s="10" t="str">
        <f>""</f>
        <v/>
      </c>
      <c r="AN502" s="10" t="str">
        <f>""</f>
        <v/>
      </c>
      <c r="AO502" s="10" t="str">
        <f>""</f>
        <v/>
      </c>
    </row>
    <row r="503" spans="1:41" s="10" customFormat="1" ht="409.6">
      <c r="A503" s="9"/>
      <c r="B503" s="9"/>
      <c r="C503" s="9"/>
      <c r="D503" s="10" t="str">
        <f>"31900"</f>
        <v>31900</v>
      </c>
      <c r="E503" s="11" t="str">
        <f>""</f>
        <v/>
      </c>
      <c r="F503" s="11" t="str">
        <f t="shared" si="316"/>
        <v>372418</v>
      </c>
      <c r="G503" s="11" t="str">
        <f t="shared" si="317"/>
        <v>2017toJAN</v>
      </c>
      <c r="H503" s="11" t="str">
        <f t="shared" si="318"/>
        <v>CRSP06B</v>
      </c>
      <c r="I503" s="11" t="str">
        <f t="shared" si="319"/>
        <v>34</v>
      </c>
      <c r="J503" s="11" t="str">
        <f t="shared" si="320"/>
        <v>Creditor</v>
      </c>
      <c r="K503" s="11" t="str">
        <f>"CS001921"</f>
        <v>CS001921</v>
      </c>
      <c r="L503" s="10" t="str">
        <f>"Open Reality Ltd"</f>
        <v>Open Reality Ltd</v>
      </c>
      <c r="M503" s="12" t="str">
        <f>"09/01/2017 00:00:00"</f>
        <v>09/01/2017 00:00:00</v>
      </c>
      <c r="N503" s="12">
        <v>42744</v>
      </c>
      <c r="O503" s="10" t="str">
        <f>"C007146"</f>
        <v>C007146</v>
      </c>
      <c r="P503" s="13">
        <v>35</v>
      </c>
      <c r="Q503" s="11" t="str">
        <f>"35.0000"</f>
        <v>35.0000</v>
      </c>
      <c r="R503" s="10" t="str">
        <f>"C0004337"</f>
        <v>C0004337</v>
      </c>
      <c r="S503" s="14" t="str">
        <f>"12283.4500"</f>
        <v>12283.4500</v>
      </c>
      <c r="T503" s="10">
        <v>21733</v>
      </c>
      <c r="U503" s="10">
        <v>1516</v>
      </c>
      <c r="V503" s="10" t="str">
        <f>"Communications and computing"</f>
        <v>Communications and computing</v>
      </c>
      <c r="W503" s="10" t="str">
        <f>"Supplies and Services"</f>
        <v>Supplies and Services</v>
      </c>
      <c r="X503" s="10" t="str">
        <f>VLOOKUP(U503,'[1]Account code lookup'!A:B,2,0)</f>
        <v>Computer Software, Licensing &amp; Maintenan</v>
      </c>
      <c r="Z503" s="10" t="str">
        <f>"Information Services"</f>
        <v>Information Services</v>
      </c>
      <c r="AA503" s="10" t="str">
        <f>"Commercial Development"</f>
        <v>Commercial Development</v>
      </c>
      <c r="AB503" s="10" t="str">
        <f>"2cdb"</f>
        <v>2cdb</v>
      </c>
      <c r="AD503" s="10" t="str">
        <f>"cdb04"</f>
        <v>cdb04</v>
      </c>
      <c r="AE503" s="10" t="str">
        <f>"Finance &amp; Procurement / Finance"</f>
        <v>Finance &amp; Procurement / Finance</v>
      </c>
      <c r="AG503" s="10" t="str">
        <f>"21733/1516"</f>
        <v>21733/1516</v>
      </c>
      <c r="AI503" s="10" t="str">
        <f>"14suse"</f>
        <v>14suse</v>
      </c>
      <c r="AJ503" s="15" t="str">
        <f>"Citrix XenDesktop VDI Edition Concurrent User License with SA License conversion_x000D_
(2:1) from XenDesktop VDI Edition User/Device_x000D_
Part Code:3003155-EZ"</f>
        <v>Citrix XenDesktop VDI Edition Concurrent User License with SA License conversion_x000D_
(2:1) from XenDesktop VDI Edition User/Device_x000D_
Part Code:3003155-EZ</v>
      </c>
      <c r="AK503" s="10" t="str">
        <f t="shared" si="321"/>
        <v>Revenue</v>
      </c>
      <c r="AL503" s="10" t="str">
        <f>""</f>
        <v/>
      </c>
      <c r="AM503" s="10" t="str">
        <f>""</f>
        <v/>
      </c>
      <c r="AN503" s="10" t="str">
        <f>""</f>
        <v/>
      </c>
      <c r="AO503" s="10" t="str">
        <f>""</f>
        <v/>
      </c>
    </row>
    <row r="504" spans="1:41" s="10" customFormat="1" ht="409.6">
      <c r="A504" s="9"/>
      <c r="B504" s="9"/>
      <c r="C504" s="9"/>
      <c r="D504" s="10" t="str">
        <f>"31901"</f>
        <v>31901</v>
      </c>
      <c r="E504" s="11" t="str">
        <f>""</f>
        <v/>
      </c>
      <c r="F504" s="11" t="str">
        <f t="shared" si="316"/>
        <v>372418</v>
      </c>
      <c r="G504" s="11" t="str">
        <f t="shared" si="317"/>
        <v>2017toJAN</v>
      </c>
      <c r="H504" s="11" t="str">
        <f t="shared" si="318"/>
        <v>CRSP06B</v>
      </c>
      <c r="I504" s="11" t="str">
        <f t="shared" si="319"/>
        <v>34</v>
      </c>
      <c r="J504" s="11" t="str">
        <f t="shared" si="320"/>
        <v>Creditor</v>
      </c>
      <c r="K504" s="11" t="str">
        <f>"CS000070"</f>
        <v>CS000070</v>
      </c>
      <c r="L504" s="10" t="str">
        <f>"Opportunity Knocks Direct Ltd"</f>
        <v>Opportunity Knocks Direct Ltd</v>
      </c>
      <c r="M504" s="12" t="str">
        <f>"11/01/2017 00:00:00"</f>
        <v>11/01/2017 00:00:00</v>
      </c>
      <c r="N504" s="12">
        <v>42746</v>
      </c>
      <c r="O504" s="10" t="str">
        <f>"C007503"</f>
        <v>C007503</v>
      </c>
      <c r="P504" s="13">
        <v>1080</v>
      </c>
      <c r="Q504" s="11" t="str">
        <f>"1080.0000"</f>
        <v>1080.0000</v>
      </c>
      <c r="R504" s="10" t="str">
        <f>"C0004345"</f>
        <v>C0004345</v>
      </c>
      <c r="S504" s="14" t="str">
        <f>"1296.0000"</f>
        <v>1296.0000</v>
      </c>
      <c r="T504" s="10">
        <v>21100</v>
      </c>
      <c r="U504" s="10">
        <v>1129</v>
      </c>
      <c r="V504" s="10" t="str">
        <f>"Direct employee exps and bens"</f>
        <v>Direct employee exps and bens</v>
      </c>
      <c r="W504" s="10" t="str">
        <f>"Employees"</f>
        <v>Employees</v>
      </c>
      <c r="X504" s="10" t="str">
        <f>VLOOKUP(U504,'[1]Account code lookup'!A:B,2,0)</f>
        <v>Canvassers Fees</v>
      </c>
      <c r="Z504" s="10" t="str">
        <f>"Law and Governance"</f>
        <v>Law and Governance</v>
      </c>
      <c r="AA504" s="10" t="str">
        <f>"Strategy and Commissioning"</f>
        <v>Strategy and Commissioning</v>
      </c>
      <c r="AB504" s="10" t="str">
        <f>"4sac"</f>
        <v>4sac</v>
      </c>
      <c r="AD504" s="10" t="str">
        <f>"sac07"</f>
        <v>sac07</v>
      </c>
      <c r="AE504" s="10" t="str">
        <f>"Law &amp; Governance / Legal"</f>
        <v>Law &amp; Governance / Legal</v>
      </c>
      <c r="AG504" s="10" t="str">
        <f>"21100/1129"</f>
        <v>21100/1129</v>
      </c>
      <c r="AI504" s="10" t="str">
        <f>"11emps"</f>
        <v>11emps</v>
      </c>
      <c r="AJ504" s="15" t="str">
        <f>"Electoral Registration Form Delivery"</f>
        <v>Electoral Registration Form Delivery</v>
      </c>
      <c r="AK504" s="10" t="str">
        <f t="shared" si="321"/>
        <v>Revenue</v>
      </c>
      <c r="AL504" s="10" t="str">
        <f>""</f>
        <v/>
      </c>
      <c r="AM504" s="10" t="str">
        <f>""</f>
        <v/>
      </c>
      <c r="AN504" s="10" t="str">
        <f>""</f>
        <v/>
      </c>
      <c r="AO504" s="10" t="str">
        <f>""</f>
        <v/>
      </c>
    </row>
    <row r="505" spans="1:41" s="10" customFormat="1" ht="409.6">
      <c r="A505" s="9"/>
      <c r="B505" s="9"/>
      <c r="C505" s="9"/>
      <c r="D505" s="10" t="str">
        <f>"31903"</f>
        <v>31903</v>
      </c>
      <c r="E505" s="11" t="str">
        <f>""</f>
        <v/>
      </c>
      <c r="F505" s="11" t="str">
        <f t="shared" si="316"/>
        <v>372418</v>
      </c>
      <c r="G505" s="11" t="str">
        <f t="shared" si="317"/>
        <v>2017toJAN</v>
      </c>
      <c r="H505" s="11" t="str">
        <f t="shared" si="318"/>
        <v>CRSP06B</v>
      </c>
      <c r="I505" s="11" t="str">
        <f t="shared" si="319"/>
        <v>34</v>
      </c>
      <c r="J505" s="11" t="str">
        <f t="shared" si="320"/>
        <v>Creditor</v>
      </c>
      <c r="K505" s="11" t="str">
        <f>"CS001927"</f>
        <v>CS001927</v>
      </c>
      <c r="L505" s="10" t="str">
        <f>"Orbis Protect Ltd"</f>
        <v>Orbis Protect Ltd</v>
      </c>
      <c r="M505" s="12" t="str">
        <f>"16/01/2017 00:00:00"</f>
        <v>16/01/2017 00:00:00</v>
      </c>
      <c r="N505" s="12">
        <v>42751</v>
      </c>
      <c r="O505" s="10" t="str">
        <f>"C007585"</f>
        <v>C007585</v>
      </c>
      <c r="P505" s="13">
        <v>3395</v>
      </c>
      <c r="Q505" s="11" t="str">
        <f>"3395.0000"</f>
        <v>3395.0000</v>
      </c>
      <c r="R505" s="10" t="str">
        <f>"C0004446"</f>
        <v>C0004446</v>
      </c>
      <c r="S505" s="14" t="str">
        <f>"4074.0000"</f>
        <v>4074.0000</v>
      </c>
      <c r="T505" s="10">
        <v>40111</v>
      </c>
      <c r="U505" s="10">
        <v>4100</v>
      </c>
      <c r="V505" s="10" t="str">
        <f t="shared" ref="V505:W507" si="336">"Capital Works"</f>
        <v>Capital Works</v>
      </c>
      <c r="W505" s="10" t="str">
        <f t="shared" si="336"/>
        <v>Capital Works</v>
      </c>
      <c r="X505" s="10" t="str">
        <f>VLOOKUP(U505,'[1]Account code lookup'!A:B,2,0)</f>
        <v>Contractors Capital Payments</v>
      </c>
      <c r="Z505" s="10" t="str">
        <f>"Capital Regen and Housing"</f>
        <v>Capital Regen and Housing</v>
      </c>
      <c r="AA505" s="10" t="str">
        <f>"Commercial Development Capital"</f>
        <v>Commercial Development Capital</v>
      </c>
      <c r="AB505" s="10" t="str">
        <f>"c2cdb"</f>
        <v>c2cdb</v>
      </c>
      <c r="AD505" s="10" t="str">
        <f>"ccdb02"</f>
        <v>ccdb02</v>
      </c>
      <c r="AE505" s="10" t="str">
        <f>"Regeneration &amp; Housing / Delivery Team"</f>
        <v>Regeneration &amp; Housing / Delivery Team</v>
      </c>
      <c r="AG505" s="10" t="str">
        <f>"40111/4100"</f>
        <v>40111/4100</v>
      </c>
      <c r="AI505" s="10" t="str">
        <f>"41cwrk"</f>
        <v>41cwrk</v>
      </c>
      <c r="AJ505" s="15" t="str">
        <f>"Supply and installation of steel security shutters as per your quotation dated 21/11/16"</f>
        <v>Supply and installation of steel security shutters as per your quotation dated 21/11/16</v>
      </c>
      <c r="AK505" s="10" t="str">
        <f>"Capital"</f>
        <v>Capital</v>
      </c>
      <c r="AL505" s="10" t="str">
        <f>""</f>
        <v/>
      </c>
      <c r="AM505" s="10" t="str">
        <f>""</f>
        <v/>
      </c>
      <c r="AN505" s="10" t="str">
        <f>""</f>
        <v/>
      </c>
      <c r="AO505" s="10" t="str">
        <f>""</f>
        <v/>
      </c>
    </row>
    <row r="506" spans="1:41" s="10" customFormat="1" ht="409.6">
      <c r="A506" s="9"/>
      <c r="B506" s="9"/>
      <c r="C506" s="9"/>
      <c r="D506" s="10" t="str">
        <f>"31904"</f>
        <v>31904</v>
      </c>
      <c r="E506" s="11" t="str">
        <f>""</f>
        <v/>
      </c>
      <c r="F506" s="11" t="str">
        <f t="shared" si="316"/>
        <v>372418</v>
      </c>
      <c r="G506" s="11" t="str">
        <f t="shared" si="317"/>
        <v>2017toJAN</v>
      </c>
      <c r="H506" s="11" t="str">
        <f t="shared" si="318"/>
        <v>CRSP06B</v>
      </c>
      <c r="I506" s="11" t="str">
        <f t="shared" si="319"/>
        <v>34</v>
      </c>
      <c r="J506" s="11" t="str">
        <f t="shared" si="320"/>
        <v>Creditor</v>
      </c>
      <c r="K506" s="11" t="str">
        <f>"CS002327"</f>
        <v>CS002327</v>
      </c>
      <c r="L506" s="10" t="str">
        <f>"Oxford &amp; District Building Services Ltd"</f>
        <v>Oxford &amp; District Building Services Ltd</v>
      </c>
      <c r="M506" s="12" t="str">
        <f>"16/01/2017 00:00:00"</f>
        <v>16/01/2017 00:00:00</v>
      </c>
      <c r="N506" s="12">
        <v>42751</v>
      </c>
      <c r="O506" s="10" t="str">
        <f>"C007416"</f>
        <v>C007416</v>
      </c>
      <c r="P506" s="13">
        <v>115896.74</v>
      </c>
      <c r="Q506" s="11" t="str">
        <f>"115896.7400"</f>
        <v>115896.7400</v>
      </c>
      <c r="R506" s="10" t="str">
        <f>"C0004450"</f>
        <v>C0004450</v>
      </c>
      <c r="S506" s="14" t="str">
        <f>"115896.7400"</f>
        <v>115896.7400</v>
      </c>
      <c r="T506" s="10">
        <v>40109</v>
      </c>
      <c r="U506" s="10">
        <v>4100</v>
      </c>
      <c r="V506" s="10" t="str">
        <f t="shared" si="336"/>
        <v>Capital Works</v>
      </c>
      <c r="W506" s="10" t="str">
        <f t="shared" si="336"/>
        <v>Capital Works</v>
      </c>
      <c r="X506" s="10" t="str">
        <f>VLOOKUP(U506,'[1]Account code lookup'!A:B,2,0)</f>
        <v>Contractors Capital Payments</v>
      </c>
      <c r="Z506" s="10" t="str">
        <f>"Capital Regen and Housing"</f>
        <v>Capital Regen and Housing</v>
      </c>
      <c r="AA506" s="10" t="str">
        <f>"Commercial Development Capital"</f>
        <v>Commercial Development Capital</v>
      </c>
      <c r="AB506" s="10" t="str">
        <f>"c2cdb"</f>
        <v>c2cdb</v>
      </c>
      <c r="AD506" s="10" t="str">
        <f>"ccdb02"</f>
        <v>ccdb02</v>
      </c>
      <c r="AE506" s="10" t="str">
        <f>"Finance &amp; Procurement / Finance"</f>
        <v>Finance &amp; Procurement / Finance</v>
      </c>
      <c r="AG506" s="10" t="str">
        <f>"40109/4100"</f>
        <v>40109/4100</v>
      </c>
      <c r="AI506" s="10" t="str">
        <f>"41cwrk"</f>
        <v>41cwrk</v>
      </c>
      <c r="AJ506" s="15" t="str">
        <f>"Fairway Methodist Site:_x000D_
Construction of Fairway Estate Road and Housing Substructure Works including associated external works."</f>
        <v>Fairway Methodist Site:_x000D_
Construction of Fairway Estate Road and Housing Substructure Works including associated external works.</v>
      </c>
      <c r="AK506" s="10" t="str">
        <f>"Capital"</f>
        <v>Capital</v>
      </c>
      <c r="AL506" s="10" t="str">
        <f>""</f>
        <v/>
      </c>
      <c r="AM506" s="10" t="str">
        <f>""</f>
        <v/>
      </c>
      <c r="AN506" s="10" t="str">
        <f>""</f>
        <v/>
      </c>
      <c r="AO506" s="10" t="str">
        <f>""</f>
        <v/>
      </c>
    </row>
    <row r="507" spans="1:41" s="10" customFormat="1" ht="409.6">
      <c r="A507" s="9"/>
      <c r="B507" s="9"/>
      <c r="C507" s="9"/>
      <c r="D507" s="10" t="str">
        <f>"31905"</f>
        <v>31905</v>
      </c>
      <c r="E507" s="11" t="str">
        <f>""</f>
        <v/>
      </c>
      <c r="F507" s="11" t="str">
        <f t="shared" si="316"/>
        <v>372418</v>
      </c>
      <c r="G507" s="11" t="str">
        <f t="shared" si="317"/>
        <v>2017toJAN</v>
      </c>
      <c r="H507" s="11" t="str">
        <f t="shared" si="318"/>
        <v>CRSP06B</v>
      </c>
      <c r="I507" s="11" t="str">
        <f t="shared" si="319"/>
        <v>34</v>
      </c>
      <c r="J507" s="11" t="str">
        <f t="shared" si="320"/>
        <v>Creditor</v>
      </c>
      <c r="K507" s="11" t="str">
        <f>"CS001936"</f>
        <v>CS001936</v>
      </c>
      <c r="L507" s="10" t="str">
        <f>"Oxford Archaeological Unit Ltd"</f>
        <v>Oxford Archaeological Unit Ltd</v>
      </c>
      <c r="M507" s="12" t="str">
        <f>"13/01/2017 00:00:00"</f>
        <v>13/01/2017 00:00:00</v>
      </c>
      <c r="N507" s="12">
        <v>42748</v>
      </c>
      <c r="O507" s="10" t="str">
        <f>"C007780"</f>
        <v>C007780</v>
      </c>
      <c r="P507" s="13">
        <v>24397</v>
      </c>
      <c r="Q507" s="11" t="str">
        <f>"24397.0000"</f>
        <v>24397.0000</v>
      </c>
      <c r="R507" s="10" t="str">
        <f>"C0004414"</f>
        <v>C0004414</v>
      </c>
      <c r="S507" s="14" t="str">
        <f>"29276.4000"</f>
        <v>29276.4000</v>
      </c>
      <c r="T507" s="10">
        <v>40103</v>
      </c>
      <c r="U507" s="10">
        <v>4100</v>
      </c>
      <c r="V507" s="10" t="str">
        <f t="shared" si="336"/>
        <v>Capital Works</v>
      </c>
      <c r="W507" s="10" t="str">
        <f t="shared" si="336"/>
        <v>Capital Works</v>
      </c>
      <c r="X507" s="10" t="str">
        <f>VLOOKUP(U507,'[1]Account code lookup'!A:B,2,0)</f>
        <v>Contractors Capital Payments</v>
      </c>
      <c r="Z507" s="10" t="str">
        <f>"Capital Regen and Housing"</f>
        <v>Capital Regen and Housing</v>
      </c>
      <c r="AA507" s="10" t="str">
        <f>"Commercial Development Capital"</f>
        <v>Commercial Development Capital</v>
      </c>
      <c r="AB507" s="10" t="str">
        <f>"c2cdb"</f>
        <v>c2cdb</v>
      </c>
      <c r="AD507" s="10" t="str">
        <f>"ccdb02"</f>
        <v>ccdb02</v>
      </c>
      <c r="AE507" s="10" t="str">
        <f>"Regeneration &amp; Housing / Delivery Team"</f>
        <v>Regeneration &amp; Housing / Delivery Team</v>
      </c>
      <c r="AG507" s="10" t="str">
        <f>"40103/4100"</f>
        <v>40103/4100</v>
      </c>
      <c r="AI507" s="10" t="str">
        <f>"41cwrk"</f>
        <v>41cwrk</v>
      </c>
      <c r="AJ507" s="15" t="str">
        <f>"Old Place Yard :_x000D_
Archaeological excavations, watching brief and production of reports._x000D_
Approved by Chris Stratford as per email  19/07 and submitted by KS 27/07."</f>
        <v>Old Place Yard :_x000D_
Archaeological excavations, watching brief and production of reports._x000D_
Approved by Chris Stratford as per email  19/07 and submitted by KS 27/07.</v>
      </c>
      <c r="AK507" s="10" t="str">
        <f>"Capital"</f>
        <v>Capital</v>
      </c>
      <c r="AL507" s="10" t="str">
        <f>""</f>
        <v/>
      </c>
      <c r="AM507" s="10" t="str">
        <f>""</f>
        <v/>
      </c>
      <c r="AN507" s="10" t="str">
        <f>""</f>
        <v/>
      </c>
      <c r="AO507" s="10" t="str">
        <f>""</f>
        <v/>
      </c>
    </row>
    <row r="508" spans="1:41" s="10" customFormat="1" ht="409.6">
      <c r="A508" s="9"/>
      <c r="B508" s="9"/>
      <c r="C508" s="9"/>
      <c r="D508" s="10" t="str">
        <f>"31906"</f>
        <v>31906</v>
      </c>
      <c r="E508" s="11" t="str">
        <f>""</f>
        <v/>
      </c>
      <c r="F508" s="11" t="str">
        <f t="shared" si="316"/>
        <v>372418</v>
      </c>
      <c r="G508" s="11" t="str">
        <f t="shared" si="317"/>
        <v>2017toJAN</v>
      </c>
      <c r="H508" s="11" t="str">
        <f t="shared" si="318"/>
        <v>CRSP06B</v>
      </c>
      <c r="I508" s="11" t="str">
        <f t="shared" si="319"/>
        <v>34</v>
      </c>
      <c r="J508" s="11" t="str">
        <f t="shared" si="320"/>
        <v>Creditor</v>
      </c>
      <c r="K508" s="11" t="str">
        <f>"CS001940"</f>
        <v>CS001940</v>
      </c>
      <c r="L508" s="10" t="str">
        <f>"Oxford City Council"</f>
        <v>Oxford City Council</v>
      </c>
      <c r="M508" s="12" t="str">
        <f>"23/01/2017 00:00:00"</f>
        <v>23/01/2017 00:00:00</v>
      </c>
      <c r="N508" s="12">
        <v>42758</v>
      </c>
      <c r="O508" s="10" t="str">
        <f>"C008060"</f>
        <v>C008060</v>
      </c>
      <c r="P508" s="13">
        <v>1000</v>
      </c>
      <c r="Q508" s="11" t="str">
        <f>"1000.0000"</f>
        <v>1000.0000</v>
      </c>
      <c r="R508" s="10" t="str">
        <f>"C0004538"</f>
        <v>C0004538</v>
      </c>
      <c r="S508" s="14" t="str">
        <f>"1000.0000"</f>
        <v>1000.0000</v>
      </c>
      <c r="T508" s="10">
        <v>22106</v>
      </c>
      <c r="U508" s="10">
        <v>1516</v>
      </c>
      <c r="V508" s="10" t="str">
        <f>"Communications and computing"</f>
        <v>Communications and computing</v>
      </c>
      <c r="W508" s="10" t="str">
        <f>"Supplies and Services"</f>
        <v>Supplies and Services</v>
      </c>
      <c r="X508" s="10" t="str">
        <f>VLOOKUP(U508,'[1]Account code lookup'!A:B,2,0)</f>
        <v>Computer Software, Licensing &amp; Maintenan</v>
      </c>
      <c r="Z508" s="10" t="str">
        <f>"Performance"</f>
        <v>Performance</v>
      </c>
      <c r="AA508" s="10" t="str">
        <f>"Strategy and Commissioning"</f>
        <v>Strategy and Commissioning</v>
      </c>
      <c r="AB508" s="10" t="str">
        <f>"4sac"</f>
        <v>4sac</v>
      </c>
      <c r="AD508" s="10" t="str">
        <f>"sac06"</f>
        <v>sac06</v>
      </c>
      <c r="AE508" s="10" t="str">
        <f>"Finance &amp; Procurement / Finance"</f>
        <v>Finance &amp; Procurement / Finance</v>
      </c>
      <c r="AG508" s="10" t="str">
        <f>"22106/1516"</f>
        <v>22106/1516</v>
      </c>
      <c r="AI508" s="10" t="str">
        <f>"14suse"</f>
        <v>14suse</v>
      </c>
      <c r="AJ508" s="15" t="str">
        <f>"Local Insight System - Trial for 1 Year"</f>
        <v>Local Insight System - Trial for 1 Year</v>
      </c>
      <c r="AK508" s="10" t="str">
        <f>"Revenue"</f>
        <v>Revenue</v>
      </c>
      <c r="AL508" s="10" t="str">
        <f>""</f>
        <v/>
      </c>
      <c r="AM508" s="10" t="str">
        <f>""</f>
        <v/>
      </c>
      <c r="AN508" s="10" t="str">
        <f>""</f>
        <v/>
      </c>
      <c r="AO508" s="10" t="str">
        <f>""</f>
        <v/>
      </c>
    </row>
    <row r="509" spans="1:41" s="10" customFormat="1" ht="409.6">
      <c r="A509" s="9"/>
      <c r="B509" s="9"/>
      <c r="C509" s="9"/>
      <c r="D509" s="10" t="str">
        <f>"31908"</f>
        <v>31908</v>
      </c>
      <c r="E509" s="11" t="str">
        <f>""</f>
        <v/>
      </c>
      <c r="F509" s="11" t="str">
        <f t="shared" si="316"/>
        <v>372418</v>
      </c>
      <c r="G509" s="11" t="str">
        <f t="shared" si="317"/>
        <v>2017toJAN</v>
      </c>
      <c r="H509" s="11" t="str">
        <f t="shared" si="318"/>
        <v>CRSP06B</v>
      </c>
      <c r="I509" s="11" t="str">
        <f t="shared" si="319"/>
        <v>34</v>
      </c>
      <c r="J509" s="11" t="str">
        <f t="shared" si="320"/>
        <v>Creditor</v>
      </c>
      <c r="K509" s="11" t="str">
        <f>"CS001946"</f>
        <v>CS001946</v>
      </c>
      <c r="L509" s="10" t="str">
        <f>"Oxford Fire Solutions"</f>
        <v>Oxford Fire Solutions</v>
      </c>
      <c r="M509" s="12" t="str">
        <f>"11/01/2017 00:00:00"</f>
        <v>11/01/2017 00:00:00</v>
      </c>
      <c r="N509" s="12">
        <v>42746</v>
      </c>
      <c r="O509" s="10" t="str">
        <f>"C007820"</f>
        <v>C007820</v>
      </c>
      <c r="P509" s="13">
        <v>755</v>
      </c>
      <c r="Q509" s="11" t="str">
        <f>"755.0000"</f>
        <v>755.0000</v>
      </c>
      <c r="R509" s="10" t="str">
        <f>"C0004371"</f>
        <v>C0004371</v>
      </c>
      <c r="S509" s="14" t="str">
        <f>"906.0000"</f>
        <v>906.0000</v>
      </c>
      <c r="T509" s="10">
        <v>40117</v>
      </c>
      <c r="U509" s="10">
        <v>4310</v>
      </c>
      <c r="V509" s="10" t="str">
        <f>"Other Fees (Capital)"</f>
        <v>Other Fees (Capital)</v>
      </c>
      <c r="W509" s="10" t="str">
        <f>"Professional Fees"</f>
        <v>Professional Fees</v>
      </c>
      <c r="X509" s="10" t="str">
        <f>VLOOKUP(U509,'[1]Account code lookup'!A:B,2,0)</f>
        <v>Other Prof.Fees (Capital)</v>
      </c>
      <c r="Z509" s="10" t="str">
        <f>"Capital Regen and Housing"</f>
        <v>Capital Regen and Housing</v>
      </c>
      <c r="AA509" s="10" t="str">
        <f>"Commercial Development Capital"</f>
        <v>Commercial Development Capital</v>
      </c>
      <c r="AB509" s="10" t="str">
        <f>"c2cdb"</f>
        <v>c2cdb</v>
      </c>
      <c r="AD509" s="10" t="str">
        <f>"ccdb02"</f>
        <v>ccdb02</v>
      </c>
      <c r="AE509" s="10" t="str">
        <f>"Regeneration &amp; Housing / Delivery Team"</f>
        <v>Regeneration &amp; Housing / Delivery Team</v>
      </c>
      <c r="AG509" s="10" t="str">
        <f>"40117/4310"</f>
        <v>40117/4310</v>
      </c>
      <c r="AI509" s="10" t="str">
        <f>"43pfee"</f>
        <v>43pfee</v>
      </c>
      <c r="AJ509" s="15" t="str">
        <f>"TOWN CENTRE HOUSE:_x000D_
Service Fire Alarm and Emergency Lighting (4 visits p.a.); Service Dry Riser (2 visits p.a.) as per your quotation OFSQ934.						_x000D_
						"</f>
        <v xml:space="preserve">TOWN CENTRE HOUSE:_x000D_
Service Fire Alarm and Emergency Lighting (4 visits p.a.); Service Dry Riser (2 visits p.a.) as per your quotation OFSQ934.						_x000D_
						</v>
      </c>
      <c r="AK509" s="10" t="str">
        <f>"Capital"</f>
        <v>Capital</v>
      </c>
      <c r="AL509" s="10" t="str">
        <f>""</f>
        <v/>
      </c>
      <c r="AM509" s="10" t="str">
        <f>""</f>
        <v/>
      </c>
      <c r="AN509" s="10" t="str">
        <f>""</f>
        <v/>
      </c>
      <c r="AO509" s="10" t="str">
        <f>""</f>
        <v/>
      </c>
    </row>
    <row r="510" spans="1:41" s="10" customFormat="1" ht="409.6">
      <c r="A510" s="9"/>
      <c r="B510" s="9"/>
      <c r="C510" s="9"/>
      <c r="D510" s="10" t="str">
        <f>"31910"</f>
        <v>31910</v>
      </c>
      <c r="E510" s="11" t="str">
        <f>""</f>
        <v/>
      </c>
      <c r="F510" s="11" t="str">
        <f t="shared" si="316"/>
        <v>372418</v>
      </c>
      <c r="G510" s="11" t="str">
        <f t="shared" si="317"/>
        <v>2017toJAN</v>
      </c>
      <c r="H510" s="11" t="str">
        <f t="shared" si="318"/>
        <v>CRSP06B</v>
      </c>
      <c r="I510" s="11" t="str">
        <f t="shared" si="319"/>
        <v>34</v>
      </c>
      <c r="J510" s="11" t="str">
        <f t="shared" si="320"/>
        <v>Creditor</v>
      </c>
      <c r="K510" s="11" t="str">
        <f>"CS002304"</f>
        <v>CS002304</v>
      </c>
      <c r="L510" s="10" t="str">
        <f>"Oxford Recruitment Services"</f>
        <v>Oxford Recruitment Services</v>
      </c>
      <c r="M510" s="12" t="str">
        <f>"04/01/2017 00:00:00"</f>
        <v>04/01/2017 00:00:00</v>
      </c>
      <c r="N510" s="12">
        <v>42739</v>
      </c>
      <c r="O510" s="10" t="str">
        <f>"C007605"</f>
        <v>C007605</v>
      </c>
      <c r="P510" s="13">
        <v>788.5</v>
      </c>
      <c r="Q510" s="11" t="str">
        <f>"788.5000"</f>
        <v>788.5000</v>
      </c>
      <c r="R510" s="10" t="str">
        <f>"C0004274"</f>
        <v>C0004274</v>
      </c>
      <c r="S510" s="14" t="str">
        <f>"946.2000"</f>
        <v>946.2000</v>
      </c>
      <c r="T510" s="10">
        <v>21717</v>
      </c>
      <c r="U510" s="10">
        <v>1136</v>
      </c>
      <c r="V510" s="10" t="str">
        <f>"Direct employee exps and bens"</f>
        <v>Direct employee exps and bens</v>
      </c>
      <c r="W510" s="10" t="str">
        <f>"Employees"</f>
        <v>Employees</v>
      </c>
      <c r="X510" s="10" t="str">
        <f>VLOOKUP(U510,'[1]Account code lookup'!A:B,2,0)</f>
        <v>Agency Staff</v>
      </c>
      <c r="Z510" s="10" t="str">
        <f>"Regeneration and Housing"</f>
        <v>Regeneration and Housing</v>
      </c>
      <c r="AA510" s="10" t="str">
        <f>"Commercial Development"</f>
        <v>Commercial Development</v>
      </c>
      <c r="AB510" s="10" t="str">
        <f>"2cdb"</f>
        <v>2cdb</v>
      </c>
      <c r="AD510" s="10" t="str">
        <f>"cdb02"</f>
        <v>cdb02</v>
      </c>
      <c r="AE510" s="10" t="str">
        <f>"Finance &amp; Procurement / Finance"</f>
        <v>Finance &amp; Procurement / Finance</v>
      </c>
      <c r="AG510" s="10" t="str">
        <f>"21717/1136"</f>
        <v>21717/1136</v>
      </c>
      <c r="AI510" s="10" t="str">
        <f>"11emps"</f>
        <v>11emps</v>
      </c>
      <c r="AJ510" s="15" t="str">
        <f>"BODICOTE HOUSE_x000D_
_x000D_
Supply of Chris Howse for FM duties_x000D_
@ £19 ph_x000D_
 until 31/12/16"</f>
        <v>BODICOTE HOUSE_x000D_
_x000D_
Supply of Chris Howse for FM duties_x000D_
@ £19 ph_x000D_
 until 31/12/16</v>
      </c>
      <c r="AK510" s="10" t="str">
        <f>"Revenue"</f>
        <v>Revenue</v>
      </c>
      <c r="AL510" s="10" t="str">
        <f>""</f>
        <v/>
      </c>
      <c r="AM510" s="10" t="str">
        <f>""</f>
        <v/>
      </c>
      <c r="AN510" s="10" t="str">
        <f>""</f>
        <v/>
      </c>
      <c r="AO510" s="10" t="str">
        <f>""</f>
        <v/>
      </c>
    </row>
    <row r="511" spans="1:41" s="10" customFormat="1" ht="409.6">
      <c r="A511" s="9"/>
      <c r="B511" s="9"/>
      <c r="C511" s="9"/>
      <c r="D511" s="10" t="str">
        <f>"31911"</f>
        <v>31911</v>
      </c>
      <c r="E511" s="11" t="str">
        <f>""</f>
        <v/>
      </c>
      <c r="F511" s="11" t="str">
        <f t="shared" si="316"/>
        <v>372418</v>
      </c>
      <c r="G511" s="11" t="str">
        <f t="shared" si="317"/>
        <v>2017toJAN</v>
      </c>
      <c r="H511" s="11" t="str">
        <f t="shared" si="318"/>
        <v>CRSP06B</v>
      </c>
      <c r="I511" s="11" t="str">
        <f t="shared" si="319"/>
        <v>34</v>
      </c>
      <c r="J511" s="11" t="str">
        <f t="shared" si="320"/>
        <v>Creditor</v>
      </c>
      <c r="K511" s="11" t="str">
        <f>"CS001897"</f>
        <v>CS001897</v>
      </c>
      <c r="L511" s="10" t="str">
        <f t="shared" ref="L511:L518" si="337">"Oxfordshire County Council"</f>
        <v>Oxfordshire County Council</v>
      </c>
      <c r="M511" s="12" t="str">
        <f>"04/01/2017 00:00:00"</f>
        <v>04/01/2017 00:00:00</v>
      </c>
      <c r="N511" s="12">
        <v>42739</v>
      </c>
      <c r="O511" s="10" t="str">
        <f>"C006904"</f>
        <v>C006904</v>
      </c>
      <c r="P511" s="13">
        <v>50000</v>
      </c>
      <c r="Q511" s="11" t="str">
        <f>"50000.0000"</f>
        <v>50000.0000</v>
      </c>
      <c r="R511" s="10" t="str">
        <f>"C0004270"</f>
        <v>C0004270</v>
      </c>
      <c r="S511" s="14" t="str">
        <f>"50000.0000"</f>
        <v>50000.0000</v>
      </c>
      <c r="T511" s="10">
        <v>29110</v>
      </c>
      <c r="U511" s="10">
        <v>1767</v>
      </c>
      <c r="V511" s="10" t="str">
        <f>"Professional Fees"</f>
        <v>Professional Fees</v>
      </c>
      <c r="W511" s="10" t="str">
        <f>"Third Party Payments"</f>
        <v>Third Party Payments</v>
      </c>
      <c r="X511" s="10" t="str">
        <f>VLOOKUP(U511,'[1]Account code lookup'!A:B,2,0)</f>
        <v>Professional Fees</v>
      </c>
      <c r="Z511" s="10" t="str">
        <f>"Development Management"</f>
        <v>Development Management</v>
      </c>
      <c r="AA511" s="10" t="str">
        <f>"Strategy and Commissioning"</f>
        <v>Strategy and Commissioning</v>
      </c>
      <c r="AB511" s="10" t="str">
        <f>"4sac"</f>
        <v>4sac</v>
      </c>
      <c r="AD511" s="10" t="str">
        <f>"sac02"</f>
        <v>sac02</v>
      </c>
      <c r="AE511" s="10" t="str">
        <f>"Finance &amp; Procurement / Head of Finance &amp; Procurement"</f>
        <v>Finance &amp; Procurement / Head of Finance &amp; Procurement</v>
      </c>
      <c r="AG511" s="10" t="str">
        <f>"29110/1767"</f>
        <v>29110/1767</v>
      </c>
      <c r="AI511" s="10" t="str">
        <f>"17tpp"</f>
        <v>17tpp</v>
      </c>
      <c r="AJ511" s="15" t="str">
        <f>"Service level agreement for Transport Development Control Priority Work - Joy White 2016/2017"</f>
        <v>Service level agreement for Transport Development Control Priority Work - Joy White 2016/2017</v>
      </c>
      <c r="AK511" s="10" t="str">
        <f>"Revenue"</f>
        <v>Revenue</v>
      </c>
      <c r="AL511" s="10" t="str">
        <f>""</f>
        <v/>
      </c>
      <c r="AM511" s="10" t="str">
        <f>""</f>
        <v/>
      </c>
      <c r="AN511" s="10" t="str">
        <f>""</f>
        <v/>
      </c>
      <c r="AO511" s="10" t="str">
        <f>""</f>
        <v/>
      </c>
    </row>
    <row r="512" spans="1:41" s="10" customFormat="1" ht="409.6">
      <c r="A512" s="9"/>
      <c r="B512" s="9"/>
      <c r="C512" s="9"/>
      <c r="D512" s="10" t="str">
        <f>"31912"</f>
        <v>31912</v>
      </c>
      <c r="E512" s="11" t="str">
        <f>""</f>
        <v/>
      </c>
      <c r="F512" s="11" t="str">
        <f t="shared" si="316"/>
        <v>372418</v>
      </c>
      <c r="G512" s="11" t="str">
        <f t="shared" si="317"/>
        <v>2017toJAN</v>
      </c>
      <c r="H512" s="11" t="str">
        <f t="shared" si="318"/>
        <v>CRSP06B</v>
      </c>
      <c r="I512" s="11" t="str">
        <f t="shared" si="319"/>
        <v>34</v>
      </c>
      <c r="J512" s="11" t="str">
        <f t="shared" si="320"/>
        <v>Creditor</v>
      </c>
      <c r="K512" s="11" t="str">
        <f>"CS001898"</f>
        <v>CS001898</v>
      </c>
      <c r="L512" s="10" t="str">
        <f t="shared" si="337"/>
        <v>Oxfordshire County Council</v>
      </c>
      <c r="M512" s="12" t="str">
        <f>"10/01/2017 00:00:00"</f>
        <v>10/01/2017 00:00:00</v>
      </c>
      <c r="N512" s="12">
        <v>42745</v>
      </c>
      <c r="O512" s="10" t="str">
        <f>"C007097"</f>
        <v>C007097</v>
      </c>
      <c r="P512" s="13">
        <v>8250</v>
      </c>
      <c r="Q512" s="11" t="str">
        <f>"8250.0000"</f>
        <v>8250.0000</v>
      </c>
      <c r="R512" s="10" t="str">
        <f>"059211"</f>
        <v>059211</v>
      </c>
      <c r="S512" s="14" t="str">
        <f>"8250.0000"</f>
        <v>8250.0000</v>
      </c>
      <c r="T512" s="10">
        <v>40109</v>
      </c>
      <c r="U512" s="10">
        <v>4100</v>
      </c>
      <c r="V512" s="10" t="str">
        <f>"Capital Works"</f>
        <v>Capital Works</v>
      </c>
      <c r="W512" s="10" t="str">
        <f>"Capital Works"</f>
        <v>Capital Works</v>
      </c>
      <c r="X512" s="10" t="str">
        <f>VLOOKUP(U512,'[1]Account code lookup'!A:B,2,0)</f>
        <v>Contractors Capital Payments</v>
      </c>
      <c r="Z512" s="10" t="str">
        <f>"Capital Regen and Housing"</f>
        <v>Capital Regen and Housing</v>
      </c>
      <c r="AA512" s="10" t="str">
        <f>"Commercial Development Capital"</f>
        <v>Commercial Development Capital</v>
      </c>
      <c r="AB512" s="10" t="str">
        <f>"c2cdb"</f>
        <v>c2cdb</v>
      </c>
      <c r="AD512" s="10" t="str">
        <f>"ccdb02"</f>
        <v>ccdb02</v>
      </c>
      <c r="AE512" s="10" t="str">
        <f>"Regeneration &amp; Housing / Strategic Housing"</f>
        <v>Regeneration &amp; Housing / Strategic Housing</v>
      </c>
      <c r="AG512" s="10" t="str">
        <f>"40109/4100"</f>
        <v>40109/4100</v>
      </c>
      <c r="AI512" s="10" t="str">
        <f>"41cwrk"</f>
        <v>41cwrk</v>
      </c>
      <c r="AJ512" s="15" t="str">
        <f>""</f>
        <v/>
      </c>
      <c r="AK512" s="10" t="str">
        <f>"Capital"</f>
        <v>Capital</v>
      </c>
      <c r="AL512" s="10" t="str">
        <f>""</f>
        <v/>
      </c>
      <c r="AM512" s="10" t="str">
        <f>""</f>
        <v/>
      </c>
      <c r="AN512" s="10" t="str">
        <f>""</f>
        <v/>
      </c>
      <c r="AO512" s="10" t="str">
        <f>""</f>
        <v/>
      </c>
    </row>
    <row r="513" spans="1:41" s="10" customFormat="1" ht="409.6">
      <c r="A513" s="9"/>
      <c r="B513" s="9"/>
      <c r="C513" s="9"/>
      <c r="D513" s="10" t="str">
        <f>"31913"</f>
        <v>31913</v>
      </c>
      <c r="E513" s="11" t="str">
        <f>""</f>
        <v/>
      </c>
      <c r="F513" s="11" t="str">
        <f t="shared" si="316"/>
        <v>372418</v>
      </c>
      <c r="G513" s="11" t="str">
        <f t="shared" si="317"/>
        <v>2017toJAN</v>
      </c>
      <c r="H513" s="11" t="str">
        <f t="shared" si="318"/>
        <v>CRSP06B</v>
      </c>
      <c r="I513" s="11" t="str">
        <f t="shared" si="319"/>
        <v>34</v>
      </c>
      <c r="J513" s="11" t="str">
        <f t="shared" si="320"/>
        <v>Creditor</v>
      </c>
      <c r="K513" s="11" t="str">
        <f>"CS001897"</f>
        <v>CS001897</v>
      </c>
      <c r="L513" s="10" t="str">
        <f t="shared" si="337"/>
        <v>Oxfordshire County Council</v>
      </c>
      <c r="M513" s="12" t="str">
        <f>"11/01/2017 00:00:00"</f>
        <v>11/01/2017 00:00:00</v>
      </c>
      <c r="N513" s="12">
        <v>42746</v>
      </c>
      <c r="O513" s="10" t="str">
        <f>"C007181"</f>
        <v>C007181</v>
      </c>
      <c r="P513" s="13">
        <v>1153.45</v>
      </c>
      <c r="Q513" s="11" t="str">
        <f>"1153.4500"</f>
        <v>1153.4500</v>
      </c>
      <c r="R513" s="10" t="str">
        <f>"C0004370"</f>
        <v>C0004370</v>
      </c>
      <c r="S513" s="14" t="str">
        <f>"6932.5200"</f>
        <v>6932.5200</v>
      </c>
      <c r="T513" s="10">
        <v>21300</v>
      </c>
      <c r="U513" s="10">
        <v>1581</v>
      </c>
      <c r="V513" s="10" t="str">
        <f>"Grants and subscriptions"</f>
        <v>Grants and subscriptions</v>
      </c>
      <c r="W513" s="10" t="str">
        <f>"Supplies and Services"</f>
        <v>Supplies and Services</v>
      </c>
      <c r="X513" s="10" t="str">
        <f>VLOOKUP(U513,'[1]Account code lookup'!A:B,2,0)</f>
        <v>Subscriptions</v>
      </c>
      <c r="Z513" s="10" t="str">
        <f>"Law and Governance"</f>
        <v>Law and Governance</v>
      </c>
      <c r="AA513" s="10" t="str">
        <f>"Strategy and Commissioning"</f>
        <v>Strategy and Commissioning</v>
      </c>
      <c r="AB513" s="10" t="str">
        <f>"4sac"</f>
        <v>4sac</v>
      </c>
      <c r="AD513" s="10" t="str">
        <f>"sac07"</f>
        <v>sac07</v>
      </c>
      <c r="AE513" s="10" t="str">
        <f>"Law &amp; Governance / Legal"</f>
        <v>Law &amp; Governance / Legal</v>
      </c>
      <c r="AG513" s="10" t="str">
        <f>"21300/1581"</f>
        <v>21300/1581</v>
      </c>
      <c r="AI513" s="10" t="str">
        <f>"14suse"</f>
        <v>14suse</v>
      </c>
      <c r="AJ513" s="15" t="str">
        <f>"PO raised for search summary charges in relation to OCC CON29 QU22 searches for November 2016 as per email received from Alison Gledhill at OCC"</f>
        <v>PO raised for search summary charges in relation to OCC CON29 QU22 searches for November 2016 as per email received from Alison Gledhill at OCC</v>
      </c>
      <c r="AK513" s="10" t="str">
        <f t="shared" ref="AK513:AK518" si="338">"Revenue"</f>
        <v>Revenue</v>
      </c>
      <c r="AL513" s="10" t="str">
        <f>""</f>
        <v/>
      </c>
      <c r="AM513" s="10" t="str">
        <f>""</f>
        <v/>
      </c>
      <c r="AN513" s="10" t="str">
        <f>""</f>
        <v/>
      </c>
      <c r="AO513" s="10" t="str">
        <f>""</f>
        <v/>
      </c>
    </row>
    <row r="514" spans="1:41" s="10" customFormat="1" ht="409.6">
      <c r="A514" s="9"/>
      <c r="B514" s="9"/>
      <c r="C514" s="9"/>
      <c r="D514" s="10" t="str">
        <f>"31914"</f>
        <v>31914</v>
      </c>
      <c r="E514" s="11" t="str">
        <f>""</f>
        <v/>
      </c>
      <c r="F514" s="11" t="str">
        <f t="shared" si="316"/>
        <v>372418</v>
      </c>
      <c r="G514" s="11" t="str">
        <f t="shared" si="317"/>
        <v>2017toJAN</v>
      </c>
      <c r="H514" s="11" t="str">
        <f t="shared" si="318"/>
        <v>CRSP06B</v>
      </c>
      <c r="I514" s="11" t="str">
        <f t="shared" si="319"/>
        <v>34</v>
      </c>
      <c r="J514" s="11" t="str">
        <f t="shared" si="320"/>
        <v>Creditor</v>
      </c>
      <c r="K514" s="11" t="str">
        <f>"CS001897"</f>
        <v>CS001897</v>
      </c>
      <c r="L514" s="10" t="str">
        <f t="shared" si="337"/>
        <v>Oxfordshire County Council</v>
      </c>
      <c r="M514" s="12" t="str">
        <f>"11/01/2017 00:00:00"</f>
        <v>11/01/2017 00:00:00</v>
      </c>
      <c r="N514" s="12">
        <v>42746</v>
      </c>
      <c r="O514" s="10" t="str">
        <f>"C007292"</f>
        <v>C007292</v>
      </c>
      <c r="P514" s="13">
        <v>5779.07</v>
      </c>
      <c r="Q514" s="11" t="str">
        <f>"5779.0700"</f>
        <v>5779.0700</v>
      </c>
      <c r="R514" s="10" t="str">
        <f>"C0004370"</f>
        <v>C0004370</v>
      </c>
      <c r="S514" s="14" t="str">
        <f>"6932.5200"</f>
        <v>6932.5200</v>
      </c>
      <c r="T514" s="10">
        <v>28402</v>
      </c>
      <c r="U514" s="10">
        <v>1765</v>
      </c>
      <c r="V514" s="10" t="str">
        <f>"Professional Fees"</f>
        <v>Professional Fees</v>
      </c>
      <c r="W514" s="10" t="str">
        <f>"Third Party Payments"</f>
        <v>Third Party Payments</v>
      </c>
      <c r="X514" s="10" t="str">
        <f>VLOOKUP(U514,'[1]Account code lookup'!A:B,2,0)</f>
        <v>Consultants Fees</v>
      </c>
      <c r="Z514" s="10" t="str">
        <f>"Regeneration and Housing"</f>
        <v>Regeneration and Housing</v>
      </c>
      <c r="AA514" s="10" t="str">
        <f>"Commercial Development"</f>
        <v>Commercial Development</v>
      </c>
      <c r="AB514" s="10" t="str">
        <f>"2cdb"</f>
        <v>2cdb</v>
      </c>
      <c r="AD514" s="10" t="str">
        <f>"cdb02"</f>
        <v>cdb02</v>
      </c>
      <c r="AE514" s="10" t="str">
        <f>"Regeneration &amp; Housing / Private Sector Housing"</f>
        <v>Regeneration &amp; Housing / Private Sector Housing</v>
      </c>
      <c r="AG514" s="10" t="str">
        <f>"28402/1765"</f>
        <v>28402/1765</v>
      </c>
      <c r="AI514" s="10" t="str">
        <f>"17tpp"</f>
        <v>17tpp</v>
      </c>
      <c r="AJ514" s="15" t="str">
        <f>"CDC contribution to OCC Housing OT 2016-17 quarters 3 &amp; 4 @ £5779.07 per quarter"</f>
        <v>CDC contribution to OCC Housing OT 2016-17 quarters 3 &amp; 4 @ £5779.07 per quarter</v>
      </c>
      <c r="AK514" s="10" t="str">
        <f t="shared" si="338"/>
        <v>Revenue</v>
      </c>
      <c r="AL514" s="10" t="str">
        <f>""</f>
        <v/>
      </c>
      <c r="AM514" s="10" t="str">
        <f>""</f>
        <v/>
      </c>
      <c r="AN514" s="10" t="str">
        <f>""</f>
        <v/>
      </c>
      <c r="AO514" s="10" t="str">
        <f>""</f>
        <v/>
      </c>
    </row>
    <row r="515" spans="1:41" s="10" customFormat="1" ht="409.6">
      <c r="A515" s="9"/>
      <c r="B515" s="9"/>
      <c r="C515" s="9"/>
      <c r="D515" s="10" t="str">
        <f>"31915"</f>
        <v>31915</v>
      </c>
      <c r="E515" s="11" t="str">
        <f>""</f>
        <v/>
      </c>
      <c r="F515" s="11" t="str">
        <f t="shared" si="316"/>
        <v>372418</v>
      </c>
      <c r="G515" s="11" t="str">
        <f t="shared" si="317"/>
        <v>2017toJAN</v>
      </c>
      <c r="H515" s="11" t="str">
        <f t="shared" si="318"/>
        <v>CRSP06B</v>
      </c>
      <c r="I515" s="11" t="str">
        <f t="shared" si="319"/>
        <v>34</v>
      </c>
      <c r="J515" s="11" t="str">
        <f t="shared" si="320"/>
        <v>Creditor</v>
      </c>
      <c r="K515" s="11" t="str">
        <f>"CS001897"</f>
        <v>CS001897</v>
      </c>
      <c r="L515" s="10" t="str">
        <f t="shared" si="337"/>
        <v>Oxfordshire County Council</v>
      </c>
      <c r="M515" s="12" t="str">
        <f>"13/01/2017 00:00:00"</f>
        <v>13/01/2017 00:00:00</v>
      </c>
      <c r="N515" s="12">
        <v>42748</v>
      </c>
      <c r="O515" s="10" t="str">
        <f>"C007409"</f>
        <v>C007409</v>
      </c>
      <c r="P515" s="13">
        <v>120000</v>
      </c>
      <c r="Q515" s="11" t="str">
        <f>"120000.0000"</f>
        <v>120000.0000</v>
      </c>
      <c r="R515" s="10" t="str">
        <f>"C0004413"</f>
        <v>C0004413</v>
      </c>
      <c r="S515" s="14" t="str">
        <f>"120000.0000"</f>
        <v>120000.0000</v>
      </c>
      <c r="T515" s="10">
        <v>29600</v>
      </c>
      <c r="U515" s="10">
        <v>1582</v>
      </c>
      <c r="V515" s="10" t="str">
        <f>"Grants and subscriptions"</f>
        <v>Grants and subscriptions</v>
      </c>
      <c r="W515" s="10" t="str">
        <f>"Supplies and Services"</f>
        <v>Supplies and Services</v>
      </c>
      <c r="X515" s="10" t="str">
        <f>VLOOKUP(U515,'[1]Account code lookup'!A:B,2,0)</f>
        <v>Contribution</v>
      </c>
      <c r="Z515" s="10" t="str">
        <f>"Strategic Planning Economy"</f>
        <v>Strategic Planning Economy</v>
      </c>
      <c r="AA515" s="10" t="str">
        <f>"Strategy and Commissioning"</f>
        <v>Strategy and Commissioning</v>
      </c>
      <c r="AB515" s="10" t="str">
        <f>"4sac"</f>
        <v>4sac</v>
      </c>
      <c r="AD515" s="10" t="str">
        <f>"sac01"</f>
        <v>sac01</v>
      </c>
      <c r="AE515" s="10" t="str">
        <f>"Strategic Planning &amp; the Economy / Economic Development &amp; Tourism"</f>
        <v>Strategic Planning &amp; the Economy / Economic Development &amp; Tourism</v>
      </c>
      <c r="AG515" s="10" t="str">
        <f>"29600/1582"</f>
        <v>29600/1582</v>
      </c>
      <c r="AI515" s="10" t="str">
        <f>"14suse"</f>
        <v>14suse</v>
      </c>
      <c r="AJ515" s="15" t="str">
        <f>"SEMLEP contribution to OCC Broadband via CDC."</f>
        <v>SEMLEP contribution to OCC Broadband via CDC.</v>
      </c>
      <c r="AK515" s="10" t="str">
        <f t="shared" si="338"/>
        <v>Revenue</v>
      </c>
      <c r="AL515" s="10" t="str">
        <f>""</f>
        <v/>
      </c>
      <c r="AM515" s="10" t="str">
        <f>""</f>
        <v/>
      </c>
      <c r="AN515" s="10" t="str">
        <f>""</f>
        <v/>
      </c>
      <c r="AO515" s="10" t="str">
        <f>""</f>
        <v/>
      </c>
    </row>
    <row r="516" spans="1:41" s="10" customFormat="1" ht="409.6">
      <c r="A516" s="9"/>
      <c r="B516" s="9"/>
      <c r="C516" s="9"/>
      <c r="D516" s="10" t="str">
        <f>"31916"</f>
        <v>31916</v>
      </c>
      <c r="E516" s="11" t="str">
        <f>""</f>
        <v/>
      </c>
      <c r="F516" s="11" t="str">
        <f t="shared" si="316"/>
        <v>372418</v>
      </c>
      <c r="G516" s="11" t="str">
        <f t="shared" si="317"/>
        <v>2017toJAN</v>
      </c>
      <c r="H516" s="11" t="str">
        <f t="shared" si="318"/>
        <v>CRSP06B</v>
      </c>
      <c r="I516" s="11" t="str">
        <f t="shared" si="319"/>
        <v>34</v>
      </c>
      <c r="J516" s="11" t="str">
        <f t="shared" si="320"/>
        <v>Creditor</v>
      </c>
      <c r="K516" s="11" t="str">
        <f>"CS001899"</f>
        <v>CS001899</v>
      </c>
      <c r="L516" s="10" t="str">
        <f t="shared" si="337"/>
        <v>Oxfordshire County Council</v>
      </c>
      <c r="M516" s="12" t="str">
        <f>"16/01/2017 00:00:00"</f>
        <v>16/01/2017 00:00:00</v>
      </c>
      <c r="N516" s="12">
        <v>42751</v>
      </c>
      <c r="O516" s="10" t="str">
        <f>"C007831"</f>
        <v>C007831</v>
      </c>
      <c r="P516" s="13">
        <v>132916.67000000001</v>
      </c>
      <c r="Q516" s="11" t="str">
        <f>"132916.6700"</f>
        <v>132916.6700</v>
      </c>
      <c r="R516" s="10" t="str">
        <f>"C0004445"</f>
        <v>C0004445</v>
      </c>
      <c r="S516" s="14" t="str">
        <f>"367063.9000"</f>
        <v>367063.9000</v>
      </c>
      <c r="T516" s="10">
        <v>23001</v>
      </c>
      <c r="U516" s="10">
        <v>1128</v>
      </c>
      <c r="V516" s="10" t="str">
        <f>"Direct employee exps and bens"</f>
        <v>Direct employee exps and bens</v>
      </c>
      <c r="W516" s="10" t="str">
        <f>"Employees"</f>
        <v>Employees</v>
      </c>
      <c r="X516" s="10" t="str">
        <f>VLOOKUP(U516,'[1]Account code lookup'!A:B,2,0)</f>
        <v>Added Years Pension and Pension Compensa</v>
      </c>
      <c r="Z516" s="10" t="str">
        <f>"Finance and Procurement"</f>
        <v>Finance and Procurement</v>
      </c>
      <c r="AA516" s="10" t="str">
        <f>"Chief Finance Officer"</f>
        <v>Chief Finance Officer</v>
      </c>
      <c r="AB516" s="10" t="str">
        <f>"3cfo"</f>
        <v>3cfo</v>
      </c>
      <c r="AD516" s="10" t="str">
        <f>"cfo02"</f>
        <v>cfo02</v>
      </c>
      <c r="AE516" s="10" t="str">
        <f>"Finance &amp; Procurement / Finance"</f>
        <v>Finance &amp; Procurement / Finance</v>
      </c>
      <c r="AG516" s="10" t="str">
        <f>"23001/1128"</f>
        <v>23001/1128</v>
      </c>
      <c r="AI516" s="10" t="str">
        <f>"11emps"</f>
        <v>11emps</v>
      </c>
      <c r="AJ516" s="15" t="str">
        <f>""</f>
        <v/>
      </c>
      <c r="AK516" s="10" t="str">
        <f t="shared" si="338"/>
        <v>Revenue</v>
      </c>
      <c r="AL516" s="10" t="str">
        <f>""</f>
        <v/>
      </c>
      <c r="AM516" s="10" t="str">
        <f>""</f>
        <v/>
      </c>
      <c r="AN516" s="10" t="str">
        <f>""</f>
        <v/>
      </c>
      <c r="AO516" s="10" t="str">
        <f>""</f>
        <v/>
      </c>
    </row>
    <row r="517" spans="1:41" s="10" customFormat="1" ht="409.6">
      <c r="A517" s="9"/>
      <c r="B517" s="9"/>
      <c r="C517" s="9"/>
      <c r="D517" s="10" t="str">
        <f>"31920"</f>
        <v>31920</v>
      </c>
      <c r="E517" s="11" t="str">
        <f>""</f>
        <v/>
      </c>
      <c r="F517" s="11" t="str">
        <f t="shared" si="316"/>
        <v>372418</v>
      </c>
      <c r="G517" s="11" t="str">
        <f t="shared" si="317"/>
        <v>2017toJAN</v>
      </c>
      <c r="H517" s="11" t="str">
        <f t="shared" si="318"/>
        <v>CRSP06B</v>
      </c>
      <c r="I517" s="11" t="str">
        <f t="shared" si="319"/>
        <v>34</v>
      </c>
      <c r="J517" s="11" t="str">
        <f t="shared" si="320"/>
        <v>Creditor</v>
      </c>
      <c r="K517" s="11" t="str">
        <f>"CS001897"</f>
        <v>CS001897</v>
      </c>
      <c r="L517" s="10" t="str">
        <f t="shared" si="337"/>
        <v>Oxfordshire County Council</v>
      </c>
      <c r="M517" s="12" t="str">
        <f>"25/01/2017 00:00:00"</f>
        <v>25/01/2017 00:00:00</v>
      </c>
      <c r="N517" s="12">
        <v>42760</v>
      </c>
      <c r="O517" s="10" t="str">
        <f>"C007599"</f>
        <v>C007599</v>
      </c>
      <c r="P517" s="13">
        <v>5000</v>
      </c>
      <c r="Q517" s="11" t="str">
        <f>"5000.0000"</f>
        <v>5000.0000</v>
      </c>
      <c r="R517" s="10" t="str">
        <f>"C0004561"</f>
        <v>C0004561</v>
      </c>
      <c r="S517" s="14" t="str">
        <f>"5000.0000"</f>
        <v>5000.0000</v>
      </c>
      <c r="T517" s="10">
        <v>24130</v>
      </c>
      <c r="U517" s="10">
        <v>1581</v>
      </c>
      <c r="V517" s="10" t="str">
        <f>"Grants and subscriptions"</f>
        <v>Grants and subscriptions</v>
      </c>
      <c r="W517" s="10" t="str">
        <f>"Supplies and Services"</f>
        <v>Supplies and Services</v>
      </c>
      <c r="X517" s="10" t="str">
        <f>VLOOKUP(U517,'[1]Account code lookup'!A:B,2,0)</f>
        <v>Subscriptions</v>
      </c>
      <c r="Z517" s="10" t="str">
        <f>"Community Services"</f>
        <v>Community Services</v>
      </c>
      <c r="AA517" s="10" t="str">
        <f>"Operations and Delivery"</f>
        <v>Operations and Delivery</v>
      </c>
      <c r="AB517" s="10" t="str">
        <f>"5oad"</f>
        <v>5oad</v>
      </c>
      <c r="AD517" s="10" t="str">
        <f>"oad01"</f>
        <v>oad01</v>
      </c>
      <c r="AE517" s="10" t="str">
        <f>"Community Services / Arts Tourism and Health"</f>
        <v>Community Services / Arts Tourism and Health</v>
      </c>
      <c r="AG517" s="10" t="str">
        <f>"24130/1581"</f>
        <v>24130/1581</v>
      </c>
      <c r="AI517" s="10" t="str">
        <f>"14suse"</f>
        <v>14suse</v>
      </c>
      <c r="AJ517" s="15" t="str">
        <f>""</f>
        <v/>
      </c>
      <c r="AK517" s="10" t="str">
        <f t="shared" si="338"/>
        <v>Revenue</v>
      </c>
      <c r="AL517" s="10" t="str">
        <f>""</f>
        <v/>
      </c>
      <c r="AM517" s="10" t="str">
        <f>""</f>
        <v/>
      </c>
      <c r="AN517" s="10" t="str">
        <f>""</f>
        <v/>
      </c>
      <c r="AO517" s="10" t="str">
        <f>""</f>
        <v/>
      </c>
    </row>
    <row r="518" spans="1:41" s="10" customFormat="1" ht="409.6">
      <c r="A518" s="9"/>
      <c r="B518" s="9"/>
      <c r="C518" s="9"/>
      <c r="D518" s="10" t="str">
        <f>"31921"</f>
        <v>31921</v>
      </c>
      <c r="E518" s="11" t="str">
        <f>""</f>
        <v/>
      </c>
      <c r="F518" s="11" t="str">
        <f t="shared" si="316"/>
        <v>372418</v>
      </c>
      <c r="G518" s="11" t="str">
        <f t="shared" si="317"/>
        <v>2017toJAN</v>
      </c>
      <c r="H518" s="11" t="str">
        <f t="shared" si="318"/>
        <v>CRSP06B</v>
      </c>
      <c r="I518" s="11" t="str">
        <f t="shared" si="319"/>
        <v>34</v>
      </c>
      <c r="J518" s="11" t="str">
        <f t="shared" si="320"/>
        <v>Creditor</v>
      </c>
      <c r="K518" s="11" t="str">
        <f>"CS001897"</f>
        <v>CS001897</v>
      </c>
      <c r="L518" s="10" t="str">
        <f t="shared" si="337"/>
        <v>Oxfordshire County Council</v>
      </c>
      <c r="M518" s="12" t="str">
        <f>"27/01/2017 00:00:00"</f>
        <v>27/01/2017 00:00:00</v>
      </c>
      <c r="N518" s="12">
        <v>42762</v>
      </c>
      <c r="O518" s="10" t="str">
        <f>"C006749"</f>
        <v>C006749</v>
      </c>
      <c r="P518" s="13">
        <v>5591.57</v>
      </c>
      <c r="Q518" s="11" t="str">
        <f>"5591.5700"</f>
        <v>5591.5700</v>
      </c>
      <c r="R518" s="10" t="str">
        <f>"C0004613"</f>
        <v>C0004613</v>
      </c>
      <c r="S518" s="14" t="str">
        <f>"5591.5700"</f>
        <v>5591.5700</v>
      </c>
      <c r="T518" s="10">
        <v>28402</v>
      </c>
      <c r="U518" s="10">
        <v>1765</v>
      </c>
      <c r="V518" s="10" t="str">
        <f>"Professional Fees"</f>
        <v>Professional Fees</v>
      </c>
      <c r="W518" s="10" t="str">
        <f>"Third Party Payments"</f>
        <v>Third Party Payments</v>
      </c>
      <c r="X518" s="10" t="str">
        <f>VLOOKUP(U518,'[1]Account code lookup'!A:B,2,0)</f>
        <v>Consultants Fees</v>
      </c>
      <c r="Z518" s="10" t="str">
        <f>"Regeneration and Housing"</f>
        <v>Regeneration and Housing</v>
      </c>
      <c r="AA518" s="10" t="str">
        <f>"Commercial Development"</f>
        <v>Commercial Development</v>
      </c>
      <c r="AB518" s="10" t="str">
        <f>"2cdb"</f>
        <v>2cdb</v>
      </c>
      <c r="AD518" s="10" t="str">
        <f>"cdb02"</f>
        <v>cdb02</v>
      </c>
      <c r="AE518" s="10" t="str">
        <f>"Regeneration &amp; Housing / Home Improvement Agency"</f>
        <v>Regeneration &amp; Housing / Home Improvement Agency</v>
      </c>
      <c r="AG518" s="10" t="str">
        <f>"28402/1765"</f>
        <v>28402/1765</v>
      </c>
      <c r="AI518" s="10" t="str">
        <f>"17tpp"</f>
        <v>17tpp</v>
      </c>
      <c r="AJ518" s="15" t="str">
        <f>""</f>
        <v/>
      </c>
      <c r="AK518" s="10" t="str">
        <f t="shared" si="338"/>
        <v>Revenue</v>
      </c>
      <c r="AL518" s="10" t="str">
        <f>""</f>
        <v/>
      </c>
      <c r="AM518" s="10" t="str">
        <f>""</f>
        <v/>
      </c>
      <c r="AN518" s="10" t="str">
        <f>""</f>
        <v/>
      </c>
      <c r="AO518" s="10" t="str">
        <f>""</f>
        <v/>
      </c>
    </row>
    <row r="519" spans="1:41" s="10" customFormat="1" ht="409.6">
      <c r="A519" s="9"/>
      <c r="B519" s="9"/>
      <c r="C519" s="9"/>
      <c r="D519" s="10" t="str">
        <f>"32024"</f>
        <v>32024</v>
      </c>
      <c r="E519" s="11" t="str">
        <f>""</f>
        <v/>
      </c>
      <c r="F519" s="11" t="str">
        <f t="shared" si="316"/>
        <v>372418</v>
      </c>
      <c r="G519" s="11" t="str">
        <f t="shared" si="317"/>
        <v>2017toJAN</v>
      </c>
      <c r="H519" s="11" t="str">
        <f t="shared" si="318"/>
        <v>CRSP06B</v>
      </c>
      <c r="I519" s="11" t="str">
        <f t="shared" si="319"/>
        <v>34</v>
      </c>
      <c r="J519" s="11" t="str">
        <f t="shared" si="320"/>
        <v>Creditor</v>
      </c>
      <c r="K519" s="11" t="str">
        <f>"CS003031"</f>
        <v>CS003031</v>
      </c>
      <c r="L519" s="10" t="str">
        <f>"Oxfordshire Glass Ltd"</f>
        <v>Oxfordshire Glass Ltd</v>
      </c>
      <c r="M519" s="12" t="str">
        <f>"20/01/2017 00:00:00"</f>
        <v>20/01/2017 00:00:00</v>
      </c>
      <c r="N519" s="12">
        <v>42755</v>
      </c>
      <c r="O519" s="10" t="str">
        <f>"C007890"</f>
        <v>C007890</v>
      </c>
      <c r="P519" s="13">
        <v>200</v>
      </c>
      <c r="Q519" s="11" t="str">
        <f>"200.0000"</f>
        <v>200.0000</v>
      </c>
      <c r="R519" s="10" t="str">
        <f>"C0004518"</f>
        <v>C0004518</v>
      </c>
      <c r="S519" s="14" t="str">
        <f>"1310.0000"</f>
        <v>1310.0000</v>
      </c>
      <c r="T519" s="10">
        <v>31012</v>
      </c>
      <c r="U519" s="10">
        <v>1200</v>
      </c>
      <c r="V519" s="10" t="str">
        <f>"Repairs &amp; Maintenance"</f>
        <v>Repairs &amp; Maintenance</v>
      </c>
      <c r="W519" s="10" t="str">
        <f>"Premises Related Expenditure"</f>
        <v>Premises Related Expenditure</v>
      </c>
      <c r="X519" s="10" t="str">
        <f>VLOOKUP(U519,'[1]Account code lookup'!A:B,2,0)</f>
        <v>Repair &amp; Maintenance</v>
      </c>
      <c r="Z519" s="10" t="str">
        <f t="shared" ref="Z519:Z526" si="339">"Regeneration and Housing"</f>
        <v>Regeneration and Housing</v>
      </c>
      <c r="AA519" s="10" t="str">
        <f t="shared" ref="AA519:AA526" si="340">"Commercial Development"</f>
        <v>Commercial Development</v>
      </c>
      <c r="AB519" s="10" t="str">
        <f t="shared" ref="AB519:AB526" si="341">"2cdb"</f>
        <v>2cdb</v>
      </c>
      <c r="AD519" s="10" t="str">
        <f t="shared" ref="AD519:AD526" si="342">"cdb02"</f>
        <v>cdb02</v>
      </c>
      <c r="AE519" s="10" t="str">
        <f t="shared" ref="AE519:AE526" si="343">"Finance &amp; Procurement / Finance"</f>
        <v>Finance &amp; Procurement / Finance</v>
      </c>
      <c r="AG519" s="10" t="str">
        <f>"31012/1200"</f>
        <v>31012/1200</v>
      </c>
      <c r="AI519" s="10" t="str">
        <f>"12prem"</f>
        <v>12prem</v>
      </c>
      <c r="AJ519" s="15" t="str">
        <f>""</f>
        <v/>
      </c>
      <c r="AK519" s="10" t="str">
        <f t="shared" ref="AK519:AK526" si="344">"Revenue"</f>
        <v>Revenue</v>
      </c>
      <c r="AL519" s="10" t="str">
        <f>""</f>
        <v/>
      </c>
      <c r="AM519" s="10" t="str">
        <f>""</f>
        <v/>
      </c>
      <c r="AN519" s="10" t="str">
        <f>""</f>
        <v/>
      </c>
      <c r="AO519" s="10" t="str">
        <f>""</f>
        <v/>
      </c>
    </row>
    <row r="520" spans="1:41" s="10" customFormat="1" ht="409.6">
      <c r="A520" s="9"/>
      <c r="B520" s="9"/>
      <c r="C520" s="9"/>
      <c r="D520" s="10" t="str">
        <f>"32076"</f>
        <v>32076</v>
      </c>
      <c r="E520" s="11" t="str">
        <f>""</f>
        <v/>
      </c>
      <c r="F520" s="11" t="str">
        <f t="shared" si="316"/>
        <v>372418</v>
      </c>
      <c r="G520" s="11" t="str">
        <f t="shared" si="317"/>
        <v>2017toJAN</v>
      </c>
      <c r="H520" s="11" t="str">
        <f t="shared" si="318"/>
        <v>CRSP06B</v>
      </c>
      <c r="I520" s="11" t="str">
        <f t="shared" si="319"/>
        <v>34</v>
      </c>
      <c r="J520" s="11" t="str">
        <f t="shared" si="320"/>
        <v>Creditor</v>
      </c>
      <c r="K520" s="11" t="str">
        <f>"CS003031"</f>
        <v>CS003031</v>
      </c>
      <c r="L520" s="10" t="str">
        <f>"Oxfordshire Glass Ltd"</f>
        <v>Oxfordshire Glass Ltd</v>
      </c>
      <c r="M520" s="12" t="str">
        <f>"20/01/2017 00:00:00"</f>
        <v>20/01/2017 00:00:00</v>
      </c>
      <c r="N520" s="12">
        <v>42755</v>
      </c>
      <c r="O520" s="10" t="str">
        <f>"C007890"</f>
        <v>C007890</v>
      </c>
      <c r="P520" s="13">
        <v>925</v>
      </c>
      <c r="Q520" s="11" t="str">
        <f>"925.0000"</f>
        <v>925.0000</v>
      </c>
      <c r="R520" s="10" t="str">
        <f>"C0004518"</f>
        <v>C0004518</v>
      </c>
      <c r="S520" s="14" t="str">
        <f>"1310.0000"</f>
        <v>1310.0000</v>
      </c>
      <c r="T520" s="10">
        <v>31012</v>
      </c>
      <c r="U520" s="10">
        <v>1200</v>
      </c>
      <c r="V520" s="10" t="str">
        <f>"Repairs &amp; Maintenance"</f>
        <v>Repairs &amp; Maintenance</v>
      </c>
      <c r="W520" s="10" t="str">
        <f>"Premises Related Expenditure"</f>
        <v>Premises Related Expenditure</v>
      </c>
      <c r="X520" s="10" t="str">
        <f>VLOOKUP(U520,'[1]Account code lookup'!A:B,2,0)</f>
        <v>Repair &amp; Maintenance</v>
      </c>
      <c r="Z520" s="10" t="str">
        <f t="shared" si="339"/>
        <v>Regeneration and Housing</v>
      </c>
      <c r="AA520" s="10" t="str">
        <f t="shared" si="340"/>
        <v>Commercial Development</v>
      </c>
      <c r="AB520" s="10" t="str">
        <f t="shared" si="341"/>
        <v>2cdb</v>
      </c>
      <c r="AD520" s="10" t="str">
        <f t="shared" si="342"/>
        <v>cdb02</v>
      </c>
      <c r="AE520" s="10" t="str">
        <f t="shared" si="343"/>
        <v>Finance &amp; Procurement / Finance</v>
      </c>
      <c r="AG520" s="10" t="str">
        <f>"31012/1200"</f>
        <v>31012/1200</v>
      </c>
      <c r="AI520" s="10" t="str">
        <f>"12prem"</f>
        <v>12prem</v>
      </c>
      <c r="AJ520" s="15" t="str">
        <f>"s/c BANBURY HEALTH CENTRETo manufacture and supply 1 nr 24.8 mm double glazed unit comprising 6.4 clear laminated inner and outer panes, 12 mm silver spacer bar and applied green anti-sun  film to outer pane. Remove and dispose of broken unit and inst"</f>
        <v>s/c BANBURY HEALTH CENTRETo manufacture and supply 1 nr 24.8 mm double glazed unit comprising 6.4 clear laminated inner and outer panes, 12 mm silver spacer bar and applied green anti-sun  film to outer pane. Remove and dispose of broken unit and inst</v>
      </c>
      <c r="AK520" s="10" t="str">
        <f t="shared" si="344"/>
        <v>Revenue</v>
      </c>
      <c r="AL520" s="10" t="str">
        <f>""</f>
        <v/>
      </c>
      <c r="AM520" s="10" t="str">
        <f>""</f>
        <v/>
      </c>
      <c r="AN520" s="10" t="str">
        <f>""</f>
        <v/>
      </c>
      <c r="AO520" s="10" t="str">
        <f>""</f>
        <v/>
      </c>
    </row>
    <row r="521" spans="1:41" s="10" customFormat="1" ht="409.6">
      <c r="A521" s="9"/>
      <c r="B521" s="9"/>
      <c r="C521" s="9"/>
      <c r="D521" s="10" t="str">
        <f>"32301"</f>
        <v>32301</v>
      </c>
      <c r="E521" s="11" t="str">
        <f>""</f>
        <v/>
      </c>
      <c r="F521" s="11" t="str">
        <f t="shared" ref="F521:F578" si="345">"372418"</f>
        <v>372418</v>
      </c>
      <c r="G521" s="11" t="str">
        <f t="shared" ref="G521:G578" si="346">"2017toJAN"</f>
        <v>2017toJAN</v>
      </c>
      <c r="H521" s="11" t="str">
        <f t="shared" ref="H521:H578" si="347">"CRSP06B"</f>
        <v>CRSP06B</v>
      </c>
      <c r="I521" s="11" t="str">
        <f t="shared" ref="I521:I578" si="348">"34"</f>
        <v>34</v>
      </c>
      <c r="J521" s="11" t="str">
        <f t="shared" ref="J521:J578" si="349">"Creditor"</f>
        <v>Creditor</v>
      </c>
      <c r="K521" s="11" t="str">
        <f t="shared" ref="K521:K526" si="350">"CS001788"</f>
        <v>CS001788</v>
      </c>
      <c r="L521" s="10" t="str">
        <f t="shared" ref="L521:L526" si="351">"Oyster Partnership"</f>
        <v>Oyster Partnership</v>
      </c>
      <c r="M521" s="12" t="str">
        <f>"13/01/2017 00:00:00"</f>
        <v>13/01/2017 00:00:00</v>
      </c>
      <c r="N521" s="12">
        <v>42748</v>
      </c>
      <c r="O521" s="10" t="str">
        <f>"C007485"</f>
        <v>C007485</v>
      </c>
      <c r="P521" s="13">
        <v>3300</v>
      </c>
      <c r="Q521" s="11" t="str">
        <f>"3300.0000"</f>
        <v>3300.0000</v>
      </c>
      <c r="R521" s="10" t="str">
        <f>"C0004411"</f>
        <v>C0004411</v>
      </c>
      <c r="S521" s="14" t="str">
        <f>"6808.8000"</f>
        <v>6808.8000</v>
      </c>
      <c r="T521" s="10">
        <v>21717</v>
      </c>
      <c r="U521" s="10">
        <v>1136</v>
      </c>
      <c r="V521" s="10" t="str">
        <f t="shared" ref="V521:V526" si="352">"Direct employee exps and bens"</f>
        <v>Direct employee exps and bens</v>
      </c>
      <c r="W521" s="10" t="str">
        <f t="shared" ref="W521:W526" si="353">"Employees"</f>
        <v>Employees</v>
      </c>
      <c r="X521" s="10" t="str">
        <f>VLOOKUP(U521,'[1]Account code lookup'!A:B,2,0)</f>
        <v>Agency Staff</v>
      </c>
      <c r="Z521" s="10" t="str">
        <f t="shared" si="339"/>
        <v>Regeneration and Housing</v>
      </c>
      <c r="AA521" s="10" t="str">
        <f t="shared" si="340"/>
        <v>Commercial Development</v>
      </c>
      <c r="AB521" s="10" t="str">
        <f t="shared" si="341"/>
        <v>2cdb</v>
      </c>
      <c r="AD521" s="10" t="str">
        <f t="shared" si="342"/>
        <v>cdb02</v>
      </c>
      <c r="AE521" s="10" t="str">
        <f t="shared" si="343"/>
        <v>Finance &amp; Procurement / Finance</v>
      </c>
      <c r="AG521" s="10" t="str">
        <f t="shared" ref="AG521:AG526" si="354">"21717/1136"</f>
        <v>21717/1136</v>
      </c>
      <c r="AI521" s="10" t="str">
        <f t="shared" ref="AI521:AI526" si="355">"11emps"</f>
        <v>11emps</v>
      </c>
      <c r="AJ521" s="15" t="str">
        <f>"BODICTOE HOUSELinda Barlow FMp/o CDC000809 closed in errorremaining monies left on p/o to take up to 31/10/16"</f>
        <v>BODICTOE HOUSELinda Barlow FMp/o CDC000809 closed in errorremaining monies left on p/o to take up to 31/10/16</v>
      </c>
      <c r="AK521" s="10" t="str">
        <f t="shared" si="344"/>
        <v>Revenue</v>
      </c>
      <c r="AL521" s="10" t="str">
        <f>""</f>
        <v/>
      </c>
      <c r="AM521" s="10" t="str">
        <f>""</f>
        <v/>
      </c>
      <c r="AN521" s="10" t="str">
        <f>""</f>
        <v/>
      </c>
      <c r="AO521" s="10" t="str">
        <f>""</f>
        <v/>
      </c>
    </row>
    <row r="522" spans="1:41" s="10" customFormat="1" ht="409.6">
      <c r="A522" s="9"/>
      <c r="B522" s="9"/>
      <c r="C522" s="9"/>
      <c r="D522" s="10" t="str">
        <f>"32755"</f>
        <v>32755</v>
      </c>
      <c r="E522" s="11" t="str">
        <f>""</f>
        <v/>
      </c>
      <c r="F522" s="11" t="str">
        <f t="shared" si="345"/>
        <v>372418</v>
      </c>
      <c r="G522" s="11" t="str">
        <f t="shared" si="346"/>
        <v>2017toJAN</v>
      </c>
      <c r="H522" s="11" t="str">
        <f t="shared" si="347"/>
        <v>CRSP06B</v>
      </c>
      <c r="I522" s="11" t="str">
        <f t="shared" si="348"/>
        <v>34</v>
      </c>
      <c r="J522" s="11" t="str">
        <f t="shared" si="349"/>
        <v>Creditor</v>
      </c>
      <c r="K522" s="11" t="str">
        <f t="shared" si="350"/>
        <v>CS001788</v>
      </c>
      <c r="L522" s="10" t="str">
        <f t="shared" si="351"/>
        <v>Oyster Partnership</v>
      </c>
      <c r="M522" s="12" t="str">
        <f>"13/01/2017 00:00:00"</f>
        <v>13/01/2017 00:00:00</v>
      </c>
      <c r="N522" s="12">
        <v>42748</v>
      </c>
      <c r="O522" s="10" t="str">
        <f>"C007484"</f>
        <v>C007484</v>
      </c>
      <c r="P522" s="13">
        <v>1008</v>
      </c>
      <c r="Q522" s="11" t="str">
        <f>"1008.0000"</f>
        <v>1008.0000</v>
      </c>
      <c r="R522" s="10" t="str">
        <f>"C0004411"</f>
        <v>C0004411</v>
      </c>
      <c r="S522" s="14" t="str">
        <f>"6808.8000"</f>
        <v>6808.8000</v>
      </c>
      <c r="T522" s="10">
        <v>21717</v>
      </c>
      <c r="U522" s="10">
        <v>1136</v>
      </c>
      <c r="V522" s="10" t="str">
        <f t="shared" si="352"/>
        <v>Direct employee exps and bens</v>
      </c>
      <c r="W522" s="10" t="str">
        <f t="shared" si="353"/>
        <v>Employees</v>
      </c>
      <c r="X522" s="10" t="str">
        <f>VLOOKUP(U522,'[1]Account code lookup'!A:B,2,0)</f>
        <v>Agency Staff</v>
      </c>
      <c r="Z522" s="10" t="str">
        <f t="shared" si="339"/>
        <v>Regeneration and Housing</v>
      </c>
      <c r="AA522" s="10" t="str">
        <f t="shared" si="340"/>
        <v>Commercial Development</v>
      </c>
      <c r="AB522" s="10" t="str">
        <f t="shared" si="341"/>
        <v>2cdb</v>
      </c>
      <c r="AD522" s="10" t="str">
        <f t="shared" si="342"/>
        <v>cdb02</v>
      </c>
      <c r="AE522" s="10" t="str">
        <f t="shared" si="343"/>
        <v>Finance &amp; Procurement / Finance</v>
      </c>
      <c r="AG522" s="10" t="str">
        <f t="shared" si="354"/>
        <v>21717/1136</v>
      </c>
      <c r="AI522" s="10" t="str">
        <f t="shared" si="355"/>
        <v>11emps</v>
      </c>
      <c r="AJ522" s="15" t="str">
        <f>"LESLEY GORDON - FM_x000D_
_x000D_
£36ph - period til 31/12/16"</f>
        <v>LESLEY GORDON - FM_x000D_
_x000D_
£36ph - period til 31/12/16</v>
      </c>
      <c r="AK522" s="10" t="str">
        <f t="shared" si="344"/>
        <v>Revenue</v>
      </c>
      <c r="AL522" s="10" t="str">
        <f>""</f>
        <v/>
      </c>
      <c r="AM522" s="10" t="str">
        <f>""</f>
        <v/>
      </c>
      <c r="AN522" s="10" t="str">
        <f>""</f>
        <v/>
      </c>
      <c r="AO522" s="10" t="str">
        <f>""</f>
        <v/>
      </c>
    </row>
    <row r="523" spans="1:41" s="10" customFormat="1" ht="409.6">
      <c r="A523" s="9"/>
      <c r="B523" s="9"/>
      <c r="C523" s="9"/>
      <c r="D523" s="10" t="str">
        <f>"32919"</f>
        <v>32919</v>
      </c>
      <c r="E523" s="11" t="str">
        <f>""</f>
        <v/>
      </c>
      <c r="F523" s="11" t="str">
        <f t="shared" si="345"/>
        <v>372418</v>
      </c>
      <c r="G523" s="11" t="str">
        <f t="shared" si="346"/>
        <v>2017toJAN</v>
      </c>
      <c r="H523" s="11" t="str">
        <f t="shared" si="347"/>
        <v>CRSP06B</v>
      </c>
      <c r="I523" s="11" t="str">
        <f t="shared" si="348"/>
        <v>34</v>
      </c>
      <c r="J523" s="11" t="str">
        <f t="shared" si="349"/>
        <v>Creditor</v>
      </c>
      <c r="K523" s="11" t="str">
        <f t="shared" si="350"/>
        <v>CS001788</v>
      </c>
      <c r="L523" s="10" t="str">
        <f t="shared" si="351"/>
        <v>Oyster Partnership</v>
      </c>
      <c r="M523" s="12" t="str">
        <f>"13/01/2017 00:00:00"</f>
        <v>13/01/2017 00:00:00</v>
      </c>
      <c r="N523" s="12">
        <v>42748</v>
      </c>
      <c r="O523" s="10" t="str">
        <f>"C007483"</f>
        <v>C007483</v>
      </c>
      <c r="P523" s="13">
        <v>1366</v>
      </c>
      <c r="Q523" s="11" t="str">
        <f>"1366.0000"</f>
        <v>1366.0000</v>
      </c>
      <c r="R523" s="10" t="str">
        <f>"C0004411"</f>
        <v>C0004411</v>
      </c>
      <c r="S523" s="14" t="str">
        <f>"6808.8000"</f>
        <v>6808.8000</v>
      </c>
      <c r="T523" s="10">
        <v>21717</v>
      </c>
      <c r="U523" s="10">
        <v>1136</v>
      </c>
      <c r="V523" s="10" t="str">
        <f t="shared" si="352"/>
        <v>Direct employee exps and bens</v>
      </c>
      <c r="W523" s="10" t="str">
        <f t="shared" si="353"/>
        <v>Employees</v>
      </c>
      <c r="X523" s="10" t="str">
        <f>VLOOKUP(U523,'[1]Account code lookup'!A:B,2,0)</f>
        <v>Agency Staff</v>
      </c>
      <c r="Z523" s="10" t="str">
        <f t="shared" si="339"/>
        <v>Regeneration and Housing</v>
      </c>
      <c r="AA523" s="10" t="str">
        <f t="shared" si="340"/>
        <v>Commercial Development</v>
      </c>
      <c r="AB523" s="10" t="str">
        <f t="shared" si="341"/>
        <v>2cdb</v>
      </c>
      <c r="AD523" s="10" t="str">
        <f t="shared" si="342"/>
        <v>cdb02</v>
      </c>
      <c r="AE523" s="10" t="str">
        <f t="shared" si="343"/>
        <v>Finance &amp; Procurement / Finance</v>
      </c>
      <c r="AG523" s="10" t="str">
        <f t="shared" si="354"/>
        <v>21717/1136</v>
      </c>
      <c r="AI523" s="10" t="str">
        <f t="shared" si="355"/>
        <v>11emps</v>
      </c>
      <c r="AJ523" s="15" t="str">
        <f>"LESLIE GOODMAN - FM BICESTER_x000D_
_x000D_
£36.75ph x 37 hrs til 31/12/16"</f>
        <v>LESLIE GOODMAN - FM BICESTER_x000D_
_x000D_
£36.75ph x 37 hrs til 31/12/16</v>
      </c>
      <c r="AK523" s="10" t="str">
        <f t="shared" si="344"/>
        <v>Revenue</v>
      </c>
      <c r="AL523" s="10" t="str">
        <f>""</f>
        <v/>
      </c>
      <c r="AM523" s="10" t="str">
        <f>""</f>
        <v/>
      </c>
      <c r="AN523" s="10" t="str">
        <f>""</f>
        <v/>
      </c>
      <c r="AO523" s="10" t="str">
        <f>""</f>
        <v/>
      </c>
    </row>
    <row r="524" spans="1:41" s="10" customFormat="1" ht="409.6">
      <c r="A524" s="9"/>
      <c r="B524" s="9"/>
      <c r="C524" s="9"/>
      <c r="D524" s="10" t="str">
        <f>"33132"</f>
        <v>33132</v>
      </c>
      <c r="E524" s="11" t="str">
        <f>""</f>
        <v/>
      </c>
      <c r="F524" s="11" t="str">
        <f t="shared" si="345"/>
        <v>372418</v>
      </c>
      <c r="G524" s="11" t="str">
        <f t="shared" si="346"/>
        <v>2017toJAN</v>
      </c>
      <c r="H524" s="11" t="str">
        <f t="shared" si="347"/>
        <v>CRSP06B</v>
      </c>
      <c r="I524" s="11" t="str">
        <f t="shared" si="348"/>
        <v>34</v>
      </c>
      <c r="J524" s="11" t="str">
        <f t="shared" si="349"/>
        <v>Creditor</v>
      </c>
      <c r="K524" s="11" t="str">
        <f t="shared" si="350"/>
        <v>CS001788</v>
      </c>
      <c r="L524" s="10" t="str">
        <f t="shared" si="351"/>
        <v>Oyster Partnership</v>
      </c>
      <c r="M524" s="12" t="str">
        <f>"20/01/2017 00:00:00"</f>
        <v>20/01/2017 00:00:00</v>
      </c>
      <c r="N524" s="12">
        <v>42755</v>
      </c>
      <c r="O524" s="10" t="str">
        <f>"C007583"</f>
        <v>C007583</v>
      </c>
      <c r="P524" s="13">
        <v>1056.56</v>
      </c>
      <c r="Q524" s="11" t="str">
        <f>"1056.5600"</f>
        <v>1056.5600</v>
      </c>
      <c r="R524" s="10" t="str">
        <f>"C0004507"</f>
        <v>C0004507</v>
      </c>
      <c r="S524" s="14" t="str">
        <f>"1267.8700"</f>
        <v>1267.8700</v>
      </c>
      <c r="T524" s="10">
        <v>21717</v>
      </c>
      <c r="U524" s="10">
        <v>1136</v>
      </c>
      <c r="V524" s="10" t="str">
        <f t="shared" si="352"/>
        <v>Direct employee exps and bens</v>
      </c>
      <c r="W524" s="10" t="str">
        <f t="shared" si="353"/>
        <v>Employees</v>
      </c>
      <c r="X524" s="10" t="str">
        <f>VLOOKUP(U524,'[1]Account code lookup'!A:B,2,0)</f>
        <v>Agency Staff</v>
      </c>
      <c r="Z524" s="10" t="str">
        <f t="shared" si="339"/>
        <v>Regeneration and Housing</v>
      </c>
      <c r="AA524" s="10" t="str">
        <f t="shared" si="340"/>
        <v>Commercial Development</v>
      </c>
      <c r="AB524" s="10" t="str">
        <f t="shared" si="341"/>
        <v>2cdb</v>
      </c>
      <c r="AD524" s="10" t="str">
        <f t="shared" si="342"/>
        <v>cdb02</v>
      </c>
      <c r="AE524" s="10" t="str">
        <f t="shared" si="343"/>
        <v>Finance &amp; Procurement / Finance</v>
      </c>
      <c r="AG524" s="10" t="str">
        <f t="shared" si="354"/>
        <v>21717/1136</v>
      </c>
      <c r="AI524" s="10" t="str">
        <f t="shared" si="355"/>
        <v>11emps</v>
      </c>
      <c r="AJ524" s="15" t="str">
        <f>"LESLIE GOODMAN - FM BICESTER_x000D_
_x000D_
£36.75ph x 37 hrs til 31/12/16"</f>
        <v>LESLIE GOODMAN - FM BICESTER_x000D_
_x000D_
£36.75ph x 37 hrs til 31/12/16</v>
      </c>
      <c r="AK524" s="10" t="str">
        <f t="shared" si="344"/>
        <v>Revenue</v>
      </c>
      <c r="AL524" s="10" t="str">
        <f>""</f>
        <v/>
      </c>
      <c r="AM524" s="10" t="str">
        <f>""</f>
        <v/>
      </c>
      <c r="AN524" s="10" t="str">
        <f>""</f>
        <v/>
      </c>
      <c r="AO524" s="10" t="str">
        <f>""</f>
        <v/>
      </c>
    </row>
    <row r="525" spans="1:41" s="10" customFormat="1" ht="409.6">
      <c r="A525" s="9"/>
      <c r="B525" s="9"/>
      <c r="C525" s="9"/>
      <c r="D525" s="10" t="str">
        <f>"33473"</f>
        <v>33473</v>
      </c>
      <c r="E525" s="11" t="str">
        <f>""</f>
        <v/>
      </c>
      <c r="F525" s="11" t="str">
        <f t="shared" si="345"/>
        <v>372418</v>
      </c>
      <c r="G525" s="11" t="str">
        <f t="shared" si="346"/>
        <v>2017toJAN</v>
      </c>
      <c r="H525" s="11" t="str">
        <f t="shared" si="347"/>
        <v>CRSP06B</v>
      </c>
      <c r="I525" s="11" t="str">
        <f t="shared" si="348"/>
        <v>34</v>
      </c>
      <c r="J525" s="11" t="str">
        <f t="shared" si="349"/>
        <v>Creditor</v>
      </c>
      <c r="K525" s="11" t="str">
        <f t="shared" si="350"/>
        <v>CS001788</v>
      </c>
      <c r="L525" s="10" t="str">
        <f t="shared" si="351"/>
        <v>Oyster Partnership</v>
      </c>
      <c r="M525" s="12" t="str">
        <f>"25/01/2017 00:00:00"</f>
        <v>25/01/2017 00:00:00</v>
      </c>
      <c r="N525" s="12">
        <v>42760</v>
      </c>
      <c r="O525" s="10" t="str">
        <f>"C007584"</f>
        <v>C007584</v>
      </c>
      <c r="P525" s="13">
        <v>900</v>
      </c>
      <c r="Q525" s="11" t="str">
        <f>"900.0000"</f>
        <v>900.0000</v>
      </c>
      <c r="R525" s="10" t="str">
        <f>"C0004560"</f>
        <v>C0004560</v>
      </c>
      <c r="S525" s="14" t="str">
        <f>"1080.0000"</f>
        <v>1080.0000</v>
      </c>
      <c r="T525" s="10">
        <v>21717</v>
      </c>
      <c r="U525" s="10">
        <v>1136</v>
      </c>
      <c r="V525" s="10" t="str">
        <f t="shared" si="352"/>
        <v>Direct employee exps and bens</v>
      </c>
      <c r="W525" s="10" t="str">
        <f t="shared" si="353"/>
        <v>Employees</v>
      </c>
      <c r="X525" s="10" t="str">
        <f>VLOOKUP(U525,'[1]Account code lookup'!A:B,2,0)</f>
        <v>Agency Staff</v>
      </c>
      <c r="Z525" s="10" t="str">
        <f t="shared" si="339"/>
        <v>Regeneration and Housing</v>
      </c>
      <c r="AA525" s="10" t="str">
        <f t="shared" si="340"/>
        <v>Commercial Development</v>
      </c>
      <c r="AB525" s="10" t="str">
        <f t="shared" si="341"/>
        <v>2cdb</v>
      </c>
      <c r="AD525" s="10" t="str">
        <f t="shared" si="342"/>
        <v>cdb02</v>
      </c>
      <c r="AE525" s="10" t="str">
        <f t="shared" si="343"/>
        <v>Finance &amp; Procurement / Finance</v>
      </c>
      <c r="AG525" s="10" t="str">
        <f t="shared" si="354"/>
        <v>21717/1136</v>
      </c>
      <c r="AI525" s="10" t="str">
        <f t="shared" si="355"/>
        <v>11emps</v>
      </c>
      <c r="AJ525" s="15" t="str">
        <f>"LESLEY GORDON - FM£36ph - period til 31/12/16"</f>
        <v>LESLEY GORDON - FM£36ph - period til 31/12/16</v>
      </c>
      <c r="AK525" s="10" t="str">
        <f t="shared" si="344"/>
        <v>Revenue</v>
      </c>
      <c r="AL525" s="10" t="str">
        <f>""</f>
        <v/>
      </c>
      <c r="AM525" s="10" t="str">
        <f>""</f>
        <v/>
      </c>
      <c r="AN525" s="10" t="str">
        <f>""</f>
        <v/>
      </c>
      <c r="AO525" s="10" t="str">
        <f>""</f>
        <v/>
      </c>
    </row>
    <row r="526" spans="1:41" s="10" customFormat="1" ht="409.6">
      <c r="A526" s="9"/>
      <c r="B526" s="9"/>
      <c r="C526" s="9"/>
      <c r="D526" s="10" t="str">
        <f>"33540"</f>
        <v>33540</v>
      </c>
      <c r="E526" s="11" t="str">
        <f>""</f>
        <v/>
      </c>
      <c r="F526" s="11" t="str">
        <f t="shared" si="345"/>
        <v>372418</v>
      </c>
      <c r="G526" s="11" t="str">
        <f t="shared" si="346"/>
        <v>2017toJAN</v>
      </c>
      <c r="H526" s="11" t="str">
        <f t="shared" si="347"/>
        <v>CRSP06B</v>
      </c>
      <c r="I526" s="11" t="str">
        <f t="shared" si="348"/>
        <v>34</v>
      </c>
      <c r="J526" s="11" t="str">
        <f t="shared" si="349"/>
        <v>Creditor</v>
      </c>
      <c r="K526" s="11" t="str">
        <f t="shared" si="350"/>
        <v>CS001788</v>
      </c>
      <c r="L526" s="10" t="str">
        <f t="shared" si="351"/>
        <v>Oyster Partnership</v>
      </c>
      <c r="M526" s="12" t="str">
        <f>"27/01/2017 00:00:00"</f>
        <v>27/01/2017 00:00:00</v>
      </c>
      <c r="N526" s="12">
        <v>42762</v>
      </c>
      <c r="O526" s="10" t="str">
        <f>"C007643"</f>
        <v>C007643</v>
      </c>
      <c r="P526" s="13">
        <v>1001.44</v>
      </c>
      <c r="Q526" s="11" t="str">
        <f>"1001.4400"</f>
        <v>1001.4400</v>
      </c>
      <c r="R526" s="10" t="str">
        <f>"C0004610"</f>
        <v>C0004610</v>
      </c>
      <c r="S526" s="14" t="str">
        <f>"1201.7300"</f>
        <v>1201.7300</v>
      </c>
      <c r="T526" s="10">
        <v>21717</v>
      </c>
      <c r="U526" s="10">
        <v>1136</v>
      </c>
      <c r="V526" s="10" t="str">
        <f t="shared" si="352"/>
        <v>Direct employee exps and bens</v>
      </c>
      <c r="W526" s="10" t="str">
        <f t="shared" si="353"/>
        <v>Employees</v>
      </c>
      <c r="X526" s="10" t="str">
        <f>VLOOKUP(U526,'[1]Account code lookup'!A:B,2,0)</f>
        <v>Agency Staff</v>
      </c>
      <c r="Z526" s="10" t="str">
        <f t="shared" si="339"/>
        <v>Regeneration and Housing</v>
      </c>
      <c r="AA526" s="10" t="str">
        <f t="shared" si="340"/>
        <v>Commercial Development</v>
      </c>
      <c r="AB526" s="10" t="str">
        <f t="shared" si="341"/>
        <v>2cdb</v>
      </c>
      <c r="AD526" s="10" t="str">
        <f t="shared" si="342"/>
        <v>cdb02</v>
      </c>
      <c r="AE526" s="10" t="str">
        <f t="shared" si="343"/>
        <v>Finance &amp; Procurement / Finance</v>
      </c>
      <c r="AG526" s="10" t="str">
        <f t="shared" si="354"/>
        <v>21717/1136</v>
      </c>
      <c r="AI526" s="10" t="str">
        <f t="shared" si="355"/>
        <v>11emps</v>
      </c>
      <c r="AJ526" s="15" t="str">
        <f>"LESLIE GOODMAN - FM BICESTER£36.75ph x 37 hrs til 31/12/16"</f>
        <v>LESLIE GOODMAN - FM BICESTER£36.75ph x 37 hrs til 31/12/16</v>
      </c>
      <c r="AK526" s="10" t="str">
        <f t="shared" si="344"/>
        <v>Revenue</v>
      </c>
      <c r="AL526" s="10" t="str">
        <f>""</f>
        <v/>
      </c>
      <c r="AM526" s="10" t="str">
        <f>""</f>
        <v/>
      </c>
      <c r="AN526" s="10" t="str">
        <f>""</f>
        <v/>
      </c>
      <c r="AO526" s="10" t="str">
        <f>""</f>
        <v/>
      </c>
    </row>
    <row r="527" spans="1:41" s="10" customFormat="1" ht="409.6">
      <c r="A527" s="9"/>
      <c r="B527" s="9"/>
      <c r="C527" s="9"/>
      <c r="D527" s="10" t="str">
        <f>"34128"</f>
        <v>34128</v>
      </c>
      <c r="E527" s="11" t="str">
        <f>""</f>
        <v/>
      </c>
      <c r="F527" s="11" t="str">
        <f t="shared" si="345"/>
        <v>372418</v>
      </c>
      <c r="G527" s="11" t="str">
        <f t="shared" si="346"/>
        <v>2017toJAN</v>
      </c>
      <c r="H527" s="11" t="str">
        <f t="shared" si="347"/>
        <v>CRSP06B</v>
      </c>
      <c r="I527" s="11" t="str">
        <f t="shared" si="348"/>
        <v>34</v>
      </c>
      <c r="J527" s="11" t="str">
        <f t="shared" si="349"/>
        <v>Creditor</v>
      </c>
      <c r="K527" s="11" t="str">
        <f>"CS000078"</f>
        <v>CS000078</v>
      </c>
      <c r="L527" s="10" t="str">
        <f>"P J Washington"</f>
        <v>P J Washington</v>
      </c>
      <c r="M527" s="12" t="str">
        <f>"06/01/2017 00:00:00"</f>
        <v>06/01/2017 00:00:00</v>
      </c>
      <c r="N527" s="12">
        <v>42741</v>
      </c>
      <c r="O527" s="10" t="str">
        <f>"C007678"</f>
        <v>C007678</v>
      </c>
      <c r="P527" s="13">
        <v>4500</v>
      </c>
      <c r="Q527" s="11" t="str">
        <f>"4500.0000"</f>
        <v>4500.0000</v>
      </c>
      <c r="R527" s="10" t="str">
        <f>"C0004283"</f>
        <v>C0004283</v>
      </c>
      <c r="S527" s="14" t="str">
        <f>"4500.0000"</f>
        <v>4500.0000</v>
      </c>
      <c r="T527" s="10">
        <v>40083</v>
      </c>
      <c r="U527" s="10">
        <v>4100</v>
      </c>
      <c r="V527" s="10" t="str">
        <f>"Capital Works"</f>
        <v>Capital Works</v>
      </c>
      <c r="W527" s="10" t="str">
        <f>"Capital Works"</f>
        <v>Capital Works</v>
      </c>
      <c r="X527" s="10" t="str">
        <f>VLOOKUP(U527,'[1]Account code lookup'!A:B,2,0)</f>
        <v>Contractors Capital Payments</v>
      </c>
      <c r="Z527" s="10" t="str">
        <f>"Capital Regen and Housing"</f>
        <v>Capital Regen and Housing</v>
      </c>
      <c r="AA527" s="10" t="str">
        <f>"Commercial Development Capital"</f>
        <v>Commercial Development Capital</v>
      </c>
      <c r="AB527" s="10" t="str">
        <f>"c2cdb"</f>
        <v>c2cdb</v>
      </c>
      <c r="AD527" s="10" t="str">
        <f>"ccdb02"</f>
        <v>ccdb02</v>
      </c>
      <c r="AE527" s="10" t="str">
        <f>"Regeneration &amp; Housing / Home Improvement Agency"</f>
        <v>Regeneration &amp; Housing / Home Improvement Agency</v>
      </c>
      <c r="AG527" s="10" t="str">
        <f>"40083/4100"</f>
        <v>40083/4100</v>
      </c>
      <c r="AI527" s="10" t="str">
        <f>"41cwrk"</f>
        <v>41cwrk</v>
      </c>
      <c r="AJ527" s="15" t="str">
        <f>"116 Freehold St, Lower Heyford"</f>
        <v>116 Freehold St, Lower Heyford</v>
      </c>
      <c r="AK527" s="10" t="str">
        <f>"Capital"</f>
        <v>Capital</v>
      </c>
      <c r="AL527" s="10" t="str">
        <f>""</f>
        <v/>
      </c>
      <c r="AM527" s="10" t="str">
        <f>""</f>
        <v/>
      </c>
      <c r="AN527" s="10" t="str">
        <f>""</f>
        <v/>
      </c>
      <c r="AO527" s="10" t="str">
        <f>""</f>
        <v/>
      </c>
    </row>
    <row r="528" spans="1:41" s="10" customFormat="1" ht="409.6">
      <c r="A528" s="9"/>
      <c r="B528" s="9"/>
      <c r="C528" s="9"/>
      <c r="D528" s="10" t="str">
        <f>"34129"</f>
        <v>34129</v>
      </c>
      <c r="E528" s="11" t="str">
        <f>""</f>
        <v/>
      </c>
      <c r="F528" s="11" t="str">
        <f t="shared" si="345"/>
        <v>372418</v>
      </c>
      <c r="G528" s="11" t="str">
        <f t="shared" si="346"/>
        <v>2017toJAN</v>
      </c>
      <c r="H528" s="11" t="str">
        <f t="shared" si="347"/>
        <v>CRSP06B</v>
      </c>
      <c r="I528" s="11" t="str">
        <f t="shared" si="348"/>
        <v>34</v>
      </c>
      <c r="J528" s="11" t="str">
        <f t="shared" si="349"/>
        <v>Creditor</v>
      </c>
      <c r="K528" s="11" t="str">
        <f>"CS001688"</f>
        <v>CS001688</v>
      </c>
      <c r="L528" s="10" t="str">
        <f>"Pace Petroleum Ltd"</f>
        <v>Pace Petroleum Ltd</v>
      </c>
      <c r="M528" s="12" t="str">
        <f>"16/01/2017 00:00:00"</f>
        <v>16/01/2017 00:00:00</v>
      </c>
      <c r="N528" s="12">
        <v>42751</v>
      </c>
      <c r="O528" s="10" t="str">
        <f>"C007527"</f>
        <v>C007527</v>
      </c>
      <c r="P528" s="13">
        <v>28504.25</v>
      </c>
      <c r="Q528" s="11" t="str">
        <f>"28504.2500"</f>
        <v>28504.2500</v>
      </c>
      <c r="R528" s="10" t="str">
        <f>"C0004441"</f>
        <v>C0004441</v>
      </c>
      <c r="S528" s="14" t="str">
        <f>"34205.1000"</f>
        <v>34205.1000</v>
      </c>
      <c r="T528" s="10">
        <v>81427</v>
      </c>
      <c r="U528" s="10">
        <v>4608</v>
      </c>
      <c r="V528" s="10" t="str">
        <f>"Cash Payments"</f>
        <v>Cash Payments</v>
      </c>
      <c r="W528" s="10" t="str">
        <f>"Payments Made"</f>
        <v>Payments Made</v>
      </c>
      <c r="X528" s="10" t="str">
        <f>VLOOKUP(U528,'[1]Account code lookup'!A:B,2,0)</f>
        <v>Stores Purchases</v>
      </c>
      <c r="Z528" s="10" t="str">
        <f>"Inventories "</f>
        <v xml:space="preserve">Inventories </v>
      </c>
      <c r="AA528" s="10" t="str">
        <f>"Current Assets"</f>
        <v>Current Assets</v>
      </c>
      <c r="AB528" s="10" t="str">
        <f>"32cass"</f>
        <v>32cass</v>
      </c>
      <c r="AD528" s="10" t="str">
        <f>"4150"</f>
        <v>4150</v>
      </c>
      <c r="AE528" s="10" t="str">
        <f>"Environmental Services / Vehicle Maintenance &amp; MOT`s"</f>
        <v>Environmental Services / Vehicle Maintenance &amp; MOT`s</v>
      </c>
      <c r="AG528" s="10" t="str">
        <f>"81427/4608"</f>
        <v>81427/4608</v>
      </c>
      <c r="AI528" s="10" t="str">
        <f>"46pymts"</f>
        <v>46pymts</v>
      </c>
      <c r="AJ528" s="15" t="str">
        <f>"Diesel - TL Depot (Dec 16)"</f>
        <v>Diesel - TL Depot (Dec 16)</v>
      </c>
      <c r="AK528" s="10" t="str">
        <f>"Balance Sheet"</f>
        <v>Balance Sheet</v>
      </c>
      <c r="AL528" s="10" t="str">
        <f>""</f>
        <v/>
      </c>
      <c r="AM528" s="10" t="str">
        <f>""</f>
        <v/>
      </c>
      <c r="AN528" s="10" t="str">
        <f>""</f>
        <v/>
      </c>
      <c r="AO528" s="10" t="str">
        <f>""</f>
        <v/>
      </c>
    </row>
    <row r="529" spans="1:41" s="10" customFormat="1" ht="409.6">
      <c r="A529" s="9"/>
      <c r="B529" s="9"/>
      <c r="C529" s="9"/>
      <c r="D529" s="10" t="str">
        <f>"34130"</f>
        <v>34130</v>
      </c>
      <c r="E529" s="11" t="str">
        <f>""</f>
        <v/>
      </c>
      <c r="F529" s="11" t="str">
        <f t="shared" si="345"/>
        <v>372418</v>
      </c>
      <c r="G529" s="11" t="str">
        <f t="shared" si="346"/>
        <v>2017toJAN</v>
      </c>
      <c r="H529" s="11" t="str">
        <f t="shared" si="347"/>
        <v>CRSP06B</v>
      </c>
      <c r="I529" s="11" t="str">
        <f t="shared" si="348"/>
        <v>34</v>
      </c>
      <c r="J529" s="11" t="str">
        <f t="shared" si="349"/>
        <v>Creditor</v>
      </c>
      <c r="K529" s="11" t="str">
        <f>"CS001688"</f>
        <v>CS001688</v>
      </c>
      <c r="L529" s="10" t="str">
        <f>"Pace Petroleum Ltd"</f>
        <v>Pace Petroleum Ltd</v>
      </c>
      <c r="M529" s="12" t="str">
        <f>"23/01/2017 00:00:00"</f>
        <v>23/01/2017 00:00:00</v>
      </c>
      <c r="N529" s="12">
        <v>42758</v>
      </c>
      <c r="O529" s="10" t="str">
        <f>"C008035"</f>
        <v>C008035</v>
      </c>
      <c r="P529" s="13">
        <v>1473</v>
      </c>
      <c r="Q529" s="11" t="str">
        <f>"1473.0000"</f>
        <v>1473.0000</v>
      </c>
      <c r="R529" s="10" t="str">
        <f>"C0004534"</f>
        <v>C0004534</v>
      </c>
      <c r="S529" s="14" t="str">
        <f>"1767.6000"</f>
        <v>1767.6000</v>
      </c>
      <c r="T529" s="10">
        <v>81427</v>
      </c>
      <c r="U529" s="10">
        <v>4608</v>
      </c>
      <c r="V529" s="10" t="str">
        <f>"Cash Payments"</f>
        <v>Cash Payments</v>
      </c>
      <c r="W529" s="10" t="str">
        <f>"Payments Made"</f>
        <v>Payments Made</v>
      </c>
      <c r="X529" s="10" t="str">
        <f>VLOOKUP(U529,'[1]Account code lookup'!A:B,2,0)</f>
        <v>Stores Purchases</v>
      </c>
      <c r="Z529" s="10" t="str">
        <f>"Inventories "</f>
        <v xml:space="preserve">Inventories </v>
      </c>
      <c r="AA529" s="10" t="str">
        <f>"Current Assets"</f>
        <v>Current Assets</v>
      </c>
      <c r="AB529" s="10" t="str">
        <f>"32cass"</f>
        <v>32cass</v>
      </c>
      <c r="AD529" s="10" t="str">
        <f>"4150"</f>
        <v>4150</v>
      </c>
      <c r="AE529" s="10" t="str">
        <f>"Environmental Services / Vehicle Maintenance &amp; MOT`s"</f>
        <v>Environmental Services / Vehicle Maintenance &amp; MOT`s</v>
      </c>
      <c r="AG529" s="10" t="str">
        <f>"81427/4608"</f>
        <v>81427/4608</v>
      </c>
      <c r="AI529" s="10" t="str">
        <f>"46pymts"</f>
        <v>46pymts</v>
      </c>
      <c r="AJ529" s="15" t="str">
        <f>"Gas Oil - Highfield Depot (Oct 16)"</f>
        <v>Gas Oil - Highfield Depot (Oct 16)</v>
      </c>
      <c r="AK529" s="10" t="str">
        <f>"Balance Sheet"</f>
        <v>Balance Sheet</v>
      </c>
      <c r="AL529" s="10" t="str">
        <f>""</f>
        <v/>
      </c>
      <c r="AM529" s="10" t="str">
        <f>""</f>
        <v/>
      </c>
      <c r="AN529" s="10" t="str">
        <f>""</f>
        <v/>
      </c>
      <c r="AO529" s="10" t="str">
        <f>""</f>
        <v/>
      </c>
    </row>
    <row r="530" spans="1:41" s="10" customFormat="1" ht="409.6">
      <c r="A530" s="9"/>
      <c r="B530" s="9"/>
      <c r="C530" s="9"/>
      <c r="D530" s="10" t="str">
        <f>"34131"</f>
        <v>34131</v>
      </c>
      <c r="E530" s="11" t="str">
        <f>""</f>
        <v/>
      </c>
      <c r="F530" s="11" t="str">
        <f t="shared" si="345"/>
        <v>372418</v>
      </c>
      <c r="G530" s="11" t="str">
        <f t="shared" si="346"/>
        <v>2017toJAN</v>
      </c>
      <c r="H530" s="11" t="str">
        <f t="shared" si="347"/>
        <v>CRSP06B</v>
      </c>
      <c r="I530" s="11" t="str">
        <f t="shared" si="348"/>
        <v>34</v>
      </c>
      <c r="J530" s="11" t="str">
        <f t="shared" si="349"/>
        <v>Creditor</v>
      </c>
      <c r="K530" s="11" t="str">
        <f>"CS001702"</f>
        <v>CS001702</v>
      </c>
      <c r="L530" s="10" t="str">
        <f>"Paul Acton Urban Design"</f>
        <v>Paul Acton Urban Design</v>
      </c>
      <c r="M530" s="12" t="str">
        <f>"11/01/2017 00:00:00"</f>
        <v>11/01/2017 00:00:00</v>
      </c>
      <c r="N530" s="12">
        <v>42746</v>
      </c>
      <c r="O530" s="10" t="str">
        <f>"C007352"</f>
        <v>C007352</v>
      </c>
      <c r="P530" s="13">
        <v>580.5</v>
      </c>
      <c r="Q530" s="11" t="str">
        <f>"580.5000"</f>
        <v>580.5000</v>
      </c>
      <c r="R530" s="10" t="str">
        <f>"C0004368"</f>
        <v>C0004368</v>
      </c>
      <c r="S530" s="14" t="str">
        <f>"580.5000"</f>
        <v>580.5000</v>
      </c>
      <c r="T530" s="10">
        <v>29110</v>
      </c>
      <c r="U530" s="10">
        <v>1767</v>
      </c>
      <c r="V530" s="10" t="str">
        <f>"Professional Fees"</f>
        <v>Professional Fees</v>
      </c>
      <c r="W530" s="10" t="str">
        <f>"Third Party Payments"</f>
        <v>Third Party Payments</v>
      </c>
      <c r="X530" s="10" t="str">
        <f>VLOOKUP(U530,'[1]Account code lookup'!A:B,2,0)</f>
        <v>Professional Fees</v>
      </c>
      <c r="Z530" s="10" t="str">
        <f>"Development Management"</f>
        <v>Development Management</v>
      </c>
      <c r="AA530" s="10" t="str">
        <f>"Strategy and Commissioning"</f>
        <v>Strategy and Commissioning</v>
      </c>
      <c r="AB530" s="10" t="str">
        <f>"4sac"</f>
        <v>4sac</v>
      </c>
      <c r="AD530" s="10" t="str">
        <f>"sac02"</f>
        <v>sac02</v>
      </c>
      <c r="AE530" s="10" t="str">
        <f>"Finance &amp; Procurement / Head of Finance &amp; Procurement"</f>
        <v>Finance &amp; Procurement / Head of Finance &amp; Procurement</v>
      </c>
      <c r="AG530" s="10" t="str">
        <f>"29110/1767"</f>
        <v>29110/1767</v>
      </c>
      <c r="AI530" s="10" t="str">
        <f>"17tpp"</f>
        <v>17tpp</v>
      </c>
      <c r="AJ530" s="15" t="str">
        <f>"Urban design consultancy service : Development at Heyford Park.  Invoice No: CH HP 007"</f>
        <v>Urban design consultancy service : Development at Heyford Park.  Invoice No: CH HP 007</v>
      </c>
      <c r="AK530" s="10" t="str">
        <f t="shared" ref="AK530:AK542" si="356">"Revenue"</f>
        <v>Revenue</v>
      </c>
      <c r="AL530" s="10" t="str">
        <f>""</f>
        <v/>
      </c>
      <c r="AM530" s="10" t="str">
        <f>""</f>
        <v/>
      </c>
      <c r="AN530" s="10" t="str">
        <f>""</f>
        <v/>
      </c>
      <c r="AO530" s="10" t="str">
        <f>""</f>
        <v/>
      </c>
    </row>
    <row r="531" spans="1:41" s="10" customFormat="1" ht="409.6">
      <c r="A531" s="9"/>
      <c r="B531" s="9"/>
      <c r="C531" s="9"/>
      <c r="D531" s="10" t="str">
        <f>"34132"</f>
        <v>34132</v>
      </c>
      <c r="E531" s="11" t="str">
        <f>""</f>
        <v/>
      </c>
      <c r="F531" s="11" t="str">
        <f t="shared" si="345"/>
        <v>372418</v>
      </c>
      <c r="G531" s="11" t="str">
        <f t="shared" si="346"/>
        <v>2017toJAN</v>
      </c>
      <c r="H531" s="11" t="str">
        <f t="shared" si="347"/>
        <v>CRSP06B</v>
      </c>
      <c r="I531" s="11" t="str">
        <f t="shared" si="348"/>
        <v>34</v>
      </c>
      <c r="J531" s="11" t="str">
        <f t="shared" si="349"/>
        <v>Creditor</v>
      </c>
      <c r="K531" s="11" t="str">
        <f>"CS001708"</f>
        <v>CS001708</v>
      </c>
      <c r="L531" s="10" t="str">
        <f>"Pedder &amp; Summers Ltd"</f>
        <v>Pedder &amp; Summers Ltd</v>
      </c>
      <c r="M531" s="12" t="str">
        <f>"06/01/2017 00:00:00"</f>
        <v>06/01/2017 00:00:00</v>
      </c>
      <c r="N531" s="12">
        <v>42741</v>
      </c>
      <c r="O531" s="10" t="str">
        <f>"C007652"</f>
        <v>C007652</v>
      </c>
      <c r="P531" s="13">
        <v>618.05999999999995</v>
      </c>
      <c r="Q531" s="11" t="str">
        <f>"618.0600"</f>
        <v>618.0600</v>
      </c>
      <c r="R531" s="10" t="str">
        <f>"C0004304"</f>
        <v>C0004304</v>
      </c>
      <c r="S531" s="14" t="str">
        <f>"741.6700"</f>
        <v>741.6700</v>
      </c>
      <c r="T531" s="10">
        <v>21733</v>
      </c>
      <c r="U531" s="10">
        <v>1401</v>
      </c>
      <c r="V531" s="10" t="str">
        <f>"Equipment, furniture and mats"</f>
        <v>Equipment, furniture and mats</v>
      </c>
      <c r="W531" s="10" t="str">
        <f>"Supplies and Services"</f>
        <v>Supplies and Services</v>
      </c>
      <c r="X531" s="10" t="str">
        <f>VLOOKUP(U531,'[1]Account code lookup'!A:B,2,0)</f>
        <v>Furniture Office Equipment</v>
      </c>
      <c r="Z531" s="10" t="str">
        <f>"Information Services"</f>
        <v>Information Services</v>
      </c>
      <c r="AA531" s="10" t="str">
        <f>"Commercial Development"</f>
        <v>Commercial Development</v>
      </c>
      <c r="AB531" s="10" t="str">
        <f>"2cdb"</f>
        <v>2cdb</v>
      </c>
      <c r="AD531" s="10" t="str">
        <f>"cdb04"</f>
        <v>cdb04</v>
      </c>
      <c r="AE531" s="10" t="str">
        <f>"Finance &amp; Procurement / Finance"</f>
        <v>Finance &amp; Procurement / Finance</v>
      </c>
      <c r="AG531" s="10" t="str">
        <f>"21733/1401"</f>
        <v>21733/1401</v>
      </c>
      <c r="AI531" s="10" t="str">
        <f>"14suse"</f>
        <v>14suse</v>
      </c>
      <c r="AJ531" s="15" t="str">
        <f>"Santino O4 with arms_x000D_
SAN04/IND3/AF01 Arms _x000D_
Colour Pyra Cobalt"</f>
        <v>Santino O4 with arms_x000D_
SAN04/IND3/AF01 Arms _x000D_
Colour Pyra Cobalt</v>
      </c>
      <c r="AK531" s="10" t="str">
        <f t="shared" si="356"/>
        <v>Revenue</v>
      </c>
      <c r="AL531" s="10" t="str">
        <f>""</f>
        <v/>
      </c>
      <c r="AM531" s="10" t="str">
        <f>""</f>
        <v/>
      </c>
      <c r="AN531" s="10" t="str">
        <f>""</f>
        <v/>
      </c>
      <c r="AO531" s="10" t="str">
        <f>""</f>
        <v/>
      </c>
    </row>
    <row r="532" spans="1:41" s="10" customFormat="1" ht="409.6">
      <c r="A532" s="9"/>
      <c r="B532" s="9"/>
      <c r="C532" s="9"/>
      <c r="D532" s="10" t="str">
        <f>"34133"</f>
        <v>34133</v>
      </c>
      <c r="E532" s="11" t="str">
        <f>""</f>
        <v/>
      </c>
      <c r="F532" s="11" t="str">
        <f t="shared" si="345"/>
        <v>372418</v>
      </c>
      <c r="G532" s="11" t="str">
        <f t="shared" si="346"/>
        <v>2017toJAN</v>
      </c>
      <c r="H532" s="11" t="str">
        <f t="shared" si="347"/>
        <v>CRSP06B</v>
      </c>
      <c r="I532" s="11" t="str">
        <f t="shared" si="348"/>
        <v>34</v>
      </c>
      <c r="J532" s="11" t="str">
        <f t="shared" si="349"/>
        <v>Creditor</v>
      </c>
      <c r="K532" s="11" t="str">
        <f>"CS001733"</f>
        <v>CS001733</v>
      </c>
      <c r="L532" s="10" t="str">
        <f>"Pirtek (Oxford) Ltd"</f>
        <v>Pirtek (Oxford) Ltd</v>
      </c>
      <c r="M532" s="12" t="str">
        <f>"20/01/2017 00:00:00"</f>
        <v>20/01/2017 00:00:00</v>
      </c>
      <c r="N532" s="12">
        <v>42755</v>
      </c>
      <c r="O532" s="10" t="str">
        <f>"C007704"</f>
        <v>C007704</v>
      </c>
      <c r="P532" s="13">
        <v>197.63</v>
      </c>
      <c r="Q532" s="11" t="str">
        <f>"197.6300"</f>
        <v>197.6300</v>
      </c>
      <c r="R532" s="10" t="str">
        <f>"C0004506"</f>
        <v>C0004506</v>
      </c>
      <c r="S532" s="14" t="str">
        <f>"1316.7300"</f>
        <v>1316.7300</v>
      </c>
      <c r="T532" s="10">
        <v>21706</v>
      </c>
      <c r="U532" s="10">
        <v>1300</v>
      </c>
      <c r="V532" s="10" t="str">
        <f>"Direct transport costs"</f>
        <v>Direct transport costs</v>
      </c>
      <c r="W532" s="10" t="str">
        <f>"Transport Related Expenditure"</f>
        <v>Transport Related Expenditure</v>
      </c>
      <c r="X532" s="10" t="str">
        <f>VLOOKUP(U532,'[1]Account code lookup'!A:B,2,0)</f>
        <v>Vehicle Repair &amp; Maintenance</v>
      </c>
      <c r="Z532" s="10" t="str">
        <f t="shared" ref="Z532:Z538" si="357">"Environmental Services"</f>
        <v>Environmental Services</v>
      </c>
      <c r="AA532" s="10" t="str">
        <f t="shared" ref="AA532:AA541" si="358">"Operations and Delivery"</f>
        <v>Operations and Delivery</v>
      </c>
      <c r="AB532" s="10" t="str">
        <f t="shared" ref="AB532:AB541" si="359">"5oad"</f>
        <v>5oad</v>
      </c>
      <c r="AD532" s="10" t="str">
        <f t="shared" ref="AD532:AD538" si="360">"oad02"</f>
        <v>oad02</v>
      </c>
      <c r="AE532" s="10" t="str">
        <f>"Finance &amp; Procurement / Head of Finance &amp; Procurement"</f>
        <v>Finance &amp; Procurement / Head of Finance &amp; Procurement</v>
      </c>
      <c r="AG532" s="10" t="str">
        <f>"21706/1300"</f>
        <v>21706/1300</v>
      </c>
      <c r="AI532" s="10" t="str">
        <f>"13trans"</f>
        <v>13trans</v>
      </c>
      <c r="AJ532" s="15" t="str">
        <f>"Annual order for 2016-2017"</f>
        <v>Annual order for 2016-2017</v>
      </c>
      <c r="AK532" s="10" t="str">
        <f t="shared" si="356"/>
        <v>Revenue</v>
      </c>
      <c r="AL532" s="10" t="str">
        <f>""</f>
        <v/>
      </c>
      <c r="AM532" s="10" t="str">
        <f>""</f>
        <v/>
      </c>
      <c r="AN532" s="10" t="str">
        <f>""</f>
        <v/>
      </c>
      <c r="AO532" s="10" t="str">
        <f>""</f>
        <v/>
      </c>
    </row>
    <row r="533" spans="1:41" s="10" customFormat="1" ht="409.6">
      <c r="A533" s="9"/>
      <c r="B533" s="9"/>
      <c r="C533" s="9"/>
      <c r="D533" s="10" t="str">
        <f>"34134"</f>
        <v>34134</v>
      </c>
      <c r="E533" s="11" t="str">
        <f>""</f>
        <v/>
      </c>
      <c r="F533" s="11" t="str">
        <f t="shared" si="345"/>
        <v>372418</v>
      </c>
      <c r="G533" s="11" t="str">
        <f t="shared" si="346"/>
        <v>2017toJAN</v>
      </c>
      <c r="H533" s="11" t="str">
        <f t="shared" si="347"/>
        <v>CRSP06B</v>
      </c>
      <c r="I533" s="11" t="str">
        <f t="shared" si="348"/>
        <v>34</v>
      </c>
      <c r="J533" s="11" t="str">
        <f t="shared" si="349"/>
        <v>Creditor</v>
      </c>
      <c r="K533" s="11" t="str">
        <f>"CS001733"</f>
        <v>CS001733</v>
      </c>
      <c r="L533" s="10" t="str">
        <f>"Pirtek (Oxford) Ltd"</f>
        <v>Pirtek (Oxford) Ltd</v>
      </c>
      <c r="M533" s="12" t="str">
        <f>"20/01/2017 00:00:00"</f>
        <v>20/01/2017 00:00:00</v>
      </c>
      <c r="N533" s="12">
        <v>42755</v>
      </c>
      <c r="O533" s="10" t="str">
        <f>"C007711"</f>
        <v>C007711</v>
      </c>
      <c r="P533" s="13">
        <v>197.39</v>
      </c>
      <c r="Q533" s="11" t="str">
        <f>"197.3900"</f>
        <v>197.3900</v>
      </c>
      <c r="R533" s="10" t="str">
        <f>"C0004506"</f>
        <v>C0004506</v>
      </c>
      <c r="S533" s="14" t="str">
        <f>"1316.7300"</f>
        <v>1316.7300</v>
      </c>
      <c r="T533" s="10">
        <v>21706</v>
      </c>
      <c r="U533" s="10">
        <v>1300</v>
      </c>
      <c r="V533" s="10" t="str">
        <f>"Direct transport costs"</f>
        <v>Direct transport costs</v>
      </c>
      <c r="W533" s="10" t="str">
        <f>"Transport Related Expenditure"</f>
        <v>Transport Related Expenditure</v>
      </c>
      <c r="X533" s="10" t="str">
        <f>VLOOKUP(U533,'[1]Account code lookup'!A:B,2,0)</f>
        <v>Vehicle Repair &amp; Maintenance</v>
      </c>
      <c r="Z533" s="10" t="str">
        <f t="shared" si="357"/>
        <v>Environmental Services</v>
      </c>
      <c r="AA533" s="10" t="str">
        <f t="shared" si="358"/>
        <v>Operations and Delivery</v>
      </c>
      <c r="AB533" s="10" t="str">
        <f t="shared" si="359"/>
        <v>5oad</v>
      </c>
      <c r="AD533" s="10" t="str">
        <f t="shared" si="360"/>
        <v>oad02</v>
      </c>
      <c r="AE533" s="10" t="str">
        <f>"Finance &amp; Procurement / Head of Finance &amp; Procurement"</f>
        <v>Finance &amp; Procurement / Head of Finance &amp; Procurement</v>
      </c>
      <c r="AG533" s="10" t="str">
        <f>"21706/1300"</f>
        <v>21706/1300</v>
      </c>
      <c r="AI533" s="10" t="str">
        <f>"13trans"</f>
        <v>13trans</v>
      </c>
      <c r="AJ533" s="15" t="str">
        <f>"Annual order for 2016-2017"</f>
        <v>Annual order for 2016-2017</v>
      </c>
      <c r="AK533" s="10" t="str">
        <f t="shared" si="356"/>
        <v>Revenue</v>
      </c>
      <c r="AL533" s="10" t="str">
        <f>""</f>
        <v/>
      </c>
      <c r="AM533" s="10" t="str">
        <f>""</f>
        <v/>
      </c>
      <c r="AN533" s="10" t="str">
        <f>""</f>
        <v/>
      </c>
      <c r="AO533" s="10" t="str">
        <f>""</f>
        <v/>
      </c>
    </row>
    <row r="534" spans="1:41" s="10" customFormat="1" ht="409.6">
      <c r="A534" s="9"/>
      <c r="B534" s="9"/>
      <c r="C534" s="9"/>
      <c r="D534" s="10" t="str">
        <f>"34135"</f>
        <v>34135</v>
      </c>
      <c r="E534" s="11" t="str">
        <f>""</f>
        <v/>
      </c>
      <c r="F534" s="11" t="str">
        <f t="shared" si="345"/>
        <v>372418</v>
      </c>
      <c r="G534" s="11" t="str">
        <f t="shared" si="346"/>
        <v>2017toJAN</v>
      </c>
      <c r="H534" s="11" t="str">
        <f t="shared" si="347"/>
        <v>CRSP06B</v>
      </c>
      <c r="I534" s="11" t="str">
        <f t="shared" si="348"/>
        <v>34</v>
      </c>
      <c r="J534" s="11" t="str">
        <f t="shared" si="349"/>
        <v>Creditor</v>
      </c>
      <c r="K534" s="11" t="str">
        <f>"CS001733"</f>
        <v>CS001733</v>
      </c>
      <c r="L534" s="10" t="str">
        <f>"Pirtek (Oxford) Ltd"</f>
        <v>Pirtek (Oxford) Ltd</v>
      </c>
      <c r="M534" s="12" t="str">
        <f>"20/01/2017 00:00:00"</f>
        <v>20/01/2017 00:00:00</v>
      </c>
      <c r="N534" s="12">
        <v>42755</v>
      </c>
      <c r="O534" s="10" t="str">
        <f>"C007713"</f>
        <v>C007713</v>
      </c>
      <c r="P534" s="13">
        <v>230.86</v>
      </c>
      <c r="Q534" s="11" t="str">
        <f>"230.8600"</f>
        <v>230.8600</v>
      </c>
      <c r="R534" s="10" t="str">
        <f>"C0004506"</f>
        <v>C0004506</v>
      </c>
      <c r="S534" s="14" t="str">
        <f>"1316.7300"</f>
        <v>1316.7300</v>
      </c>
      <c r="T534" s="10">
        <v>21706</v>
      </c>
      <c r="U534" s="10">
        <v>1300</v>
      </c>
      <c r="V534" s="10" t="str">
        <f>"Direct transport costs"</f>
        <v>Direct transport costs</v>
      </c>
      <c r="W534" s="10" t="str">
        <f>"Transport Related Expenditure"</f>
        <v>Transport Related Expenditure</v>
      </c>
      <c r="X534" s="10" t="str">
        <f>VLOOKUP(U534,'[1]Account code lookup'!A:B,2,0)</f>
        <v>Vehicle Repair &amp; Maintenance</v>
      </c>
      <c r="Z534" s="10" t="str">
        <f t="shared" si="357"/>
        <v>Environmental Services</v>
      </c>
      <c r="AA534" s="10" t="str">
        <f t="shared" si="358"/>
        <v>Operations and Delivery</v>
      </c>
      <c r="AB534" s="10" t="str">
        <f t="shared" si="359"/>
        <v>5oad</v>
      </c>
      <c r="AD534" s="10" t="str">
        <f t="shared" si="360"/>
        <v>oad02</v>
      </c>
      <c r="AE534" s="10" t="str">
        <f>"Finance &amp; Procurement / Head of Finance &amp; Procurement"</f>
        <v>Finance &amp; Procurement / Head of Finance &amp; Procurement</v>
      </c>
      <c r="AG534" s="10" t="str">
        <f>"21706/1300"</f>
        <v>21706/1300</v>
      </c>
      <c r="AI534" s="10" t="str">
        <f>"13trans"</f>
        <v>13trans</v>
      </c>
      <c r="AJ534" s="15" t="str">
        <f>"Annual order for 2016-2017"</f>
        <v>Annual order for 2016-2017</v>
      </c>
      <c r="AK534" s="10" t="str">
        <f t="shared" si="356"/>
        <v>Revenue</v>
      </c>
      <c r="AL534" s="10" t="str">
        <f>""</f>
        <v/>
      </c>
      <c r="AM534" s="10" t="str">
        <f>""</f>
        <v/>
      </c>
      <c r="AN534" s="10" t="str">
        <f>""</f>
        <v/>
      </c>
      <c r="AO534" s="10" t="str">
        <f>""</f>
        <v/>
      </c>
    </row>
    <row r="535" spans="1:41" s="10" customFormat="1" ht="409.6">
      <c r="A535" s="9"/>
      <c r="B535" s="9"/>
      <c r="C535" s="9"/>
      <c r="D535" s="10" t="str">
        <f>"34136"</f>
        <v>34136</v>
      </c>
      <c r="E535" s="11" t="str">
        <f>""</f>
        <v/>
      </c>
      <c r="F535" s="11" t="str">
        <f t="shared" si="345"/>
        <v>372418</v>
      </c>
      <c r="G535" s="11" t="str">
        <f t="shared" si="346"/>
        <v>2017toJAN</v>
      </c>
      <c r="H535" s="11" t="str">
        <f t="shared" si="347"/>
        <v>CRSP06B</v>
      </c>
      <c r="I535" s="11" t="str">
        <f t="shared" si="348"/>
        <v>34</v>
      </c>
      <c r="J535" s="11" t="str">
        <f t="shared" si="349"/>
        <v>Creditor</v>
      </c>
      <c r="K535" s="11" t="str">
        <f>"CS001733"</f>
        <v>CS001733</v>
      </c>
      <c r="L535" s="10" t="str">
        <f>"Pirtek (Oxford) Ltd"</f>
        <v>Pirtek (Oxford) Ltd</v>
      </c>
      <c r="M535" s="12" t="str">
        <f>"20/01/2017 00:00:00"</f>
        <v>20/01/2017 00:00:00</v>
      </c>
      <c r="N535" s="12">
        <v>42755</v>
      </c>
      <c r="O535" s="10" t="str">
        <f>"C007839"</f>
        <v>C007839</v>
      </c>
      <c r="P535" s="13">
        <v>471.41</v>
      </c>
      <c r="Q535" s="11" t="str">
        <f>"471.4100"</f>
        <v>471.4100</v>
      </c>
      <c r="R535" s="10" t="str">
        <f>"C0004506"</f>
        <v>C0004506</v>
      </c>
      <c r="S535" s="14" t="str">
        <f>"1316.7300"</f>
        <v>1316.7300</v>
      </c>
      <c r="T535" s="10">
        <v>21706</v>
      </c>
      <c r="U535" s="10">
        <v>1300</v>
      </c>
      <c r="V535" s="10" t="str">
        <f>"Direct transport costs"</f>
        <v>Direct transport costs</v>
      </c>
      <c r="W535" s="10" t="str">
        <f>"Transport Related Expenditure"</f>
        <v>Transport Related Expenditure</v>
      </c>
      <c r="X535" s="10" t="str">
        <f>VLOOKUP(U535,'[1]Account code lookup'!A:B,2,0)</f>
        <v>Vehicle Repair &amp; Maintenance</v>
      </c>
      <c r="Z535" s="10" t="str">
        <f t="shared" si="357"/>
        <v>Environmental Services</v>
      </c>
      <c r="AA535" s="10" t="str">
        <f t="shared" si="358"/>
        <v>Operations and Delivery</v>
      </c>
      <c r="AB535" s="10" t="str">
        <f t="shared" si="359"/>
        <v>5oad</v>
      </c>
      <c r="AD535" s="10" t="str">
        <f t="shared" si="360"/>
        <v>oad02</v>
      </c>
      <c r="AE535" s="10" t="str">
        <f>"Finance &amp; Procurement / Head of Finance &amp; Procurement"</f>
        <v>Finance &amp; Procurement / Head of Finance &amp; Procurement</v>
      </c>
      <c r="AG535" s="10" t="str">
        <f>"21706/1300"</f>
        <v>21706/1300</v>
      </c>
      <c r="AI535" s="10" t="str">
        <f>"13trans"</f>
        <v>13trans</v>
      </c>
      <c r="AJ535" s="15" t="str">
        <f>"Annual order for 2016-2017"</f>
        <v>Annual order for 2016-2017</v>
      </c>
      <c r="AK535" s="10" t="str">
        <f t="shared" si="356"/>
        <v>Revenue</v>
      </c>
      <c r="AL535" s="10" t="str">
        <f>""</f>
        <v/>
      </c>
      <c r="AM535" s="10" t="str">
        <f>""</f>
        <v/>
      </c>
      <c r="AN535" s="10" t="str">
        <f>""</f>
        <v/>
      </c>
      <c r="AO535" s="10" t="str">
        <f>""</f>
        <v/>
      </c>
    </row>
    <row r="536" spans="1:41" s="10" customFormat="1" ht="409.6">
      <c r="A536" s="9"/>
      <c r="B536" s="9"/>
      <c r="C536" s="9"/>
      <c r="D536" s="10" t="str">
        <f>"34137"</f>
        <v>34137</v>
      </c>
      <c r="E536" s="11" t="str">
        <f>""</f>
        <v/>
      </c>
      <c r="F536" s="11" t="str">
        <f t="shared" si="345"/>
        <v>372418</v>
      </c>
      <c r="G536" s="11" t="str">
        <f t="shared" si="346"/>
        <v>2017toJAN</v>
      </c>
      <c r="H536" s="11" t="str">
        <f t="shared" si="347"/>
        <v>CRSP06B</v>
      </c>
      <c r="I536" s="11" t="str">
        <f t="shared" si="348"/>
        <v>34</v>
      </c>
      <c r="J536" s="11" t="str">
        <f t="shared" si="349"/>
        <v>Creditor</v>
      </c>
      <c r="K536" s="11" t="str">
        <f>"CS001741"</f>
        <v>CS001741</v>
      </c>
      <c r="L536" s="10" t="str">
        <f>"Playground Supplies Ltd"</f>
        <v>Playground Supplies Ltd</v>
      </c>
      <c r="M536" s="12" t="str">
        <f>"27/01/2017 00:00:00"</f>
        <v>27/01/2017 00:00:00</v>
      </c>
      <c r="N536" s="12">
        <v>42762</v>
      </c>
      <c r="O536" s="10" t="str">
        <f>"C007753"</f>
        <v>C007753</v>
      </c>
      <c r="P536" s="13">
        <v>2991.99</v>
      </c>
      <c r="Q536" s="11" t="str">
        <f>"2991.9900"</f>
        <v>2991.9900</v>
      </c>
      <c r="R536" s="10" t="str">
        <f>"C0004609"</f>
        <v>C0004609</v>
      </c>
      <c r="S536" s="14" t="str">
        <f>"3590.3900"</f>
        <v>3590.3900</v>
      </c>
      <c r="T536" s="10">
        <v>24200</v>
      </c>
      <c r="U536" s="10">
        <v>1725</v>
      </c>
      <c r="V536" s="10" t="str">
        <f>"Private Contractors"</f>
        <v>Private Contractors</v>
      </c>
      <c r="W536" s="10" t="str">
        <f>"Third Party Payments"</f>
        <v>Third Party Payments</v>
      </c>
      <c r="X536" s="10" t="str">
        <f>VLOOKUP(U536,'[1]Account code lookup'!A:B,2,0)</f>
        <v>Contractor Ad Hoc Payments</v>
      </c>
      <c r="Z536" s="10" t="str">
        <f t="shared" si="357"/>
        <v>Environmental Services</v>
      </c>
      <c r="AA536" s="10" t="str">
        <f t="shared" si="358"/>
        <v>Operations and Delivery</v>
      </c>
      <c r="AB536" s="10" t="str">
        <f t="shared" si="359"/>
        <v>5oad</v>
      </c>
      <c r="AD536" s="10" t="str">
        <f t="shared" si="360"/>
        <v>oad02</v>
      </c>
      <c r="AE536" s="10" t="str">
        <f>"Environmental Services / Street Scene &amp; Landscape Services"</f>
        <v>Environmental Services / Street Scene &amp; Landscape Services</v>
      </c>
      <c r="AG536" s="10" t="str">
        <f>"24200/1725"</f>
        <v>24200/1725</v>
      </c>
      <c r="AI536" s="10" t="str">
        <f>"17tpp"</f>
        <v>17tpp</v>
      </c>
      <c r="AJ536" s="15" t="str">
        <f>"Weekly inspection of 38 sites @ £18.17 per week for December 2016_x000D_
Our Ref: Com Sum 24211/1200"</f>
        <v>Weekly inspection of 38 sites @ £18.17 per week for December 2016_x000D_
Our Ref: Com Sum 24211/1200</v>
      </c>
      <c r="AK536" s="10" t="str">
        <f t="shared" si="356"/>
        <v>Revenue</v>
      </c>
      <c r="AL536" s="10" t="str">
        <f>""</f>
        <v/>
      </c>
      <c r="AM536" s="10" t="str">
        <f>""</f>
        <v/>
      </c>
      <c r="AN536" s="10" t="str">
        <f>""</f>
        <v/>
      </c>
      <c r="AO536" s="10" t="str">
        <f>""</f>
        <v/>
      </c>
    </row>
    <row r="537" spans="1:41" s="10" customFormat="1" ht="409.6">
      <c r="A537" s="9"/>
      <c r="B537" s="9"/>
      <c r="C537" s="9"/>
      <c r="D537" s="10" t="str">
        <f>"34138"</f>
        <v>34138</v>
      </c>
      <c r="E537" s="11" t="str">
        <f>""</f>
        <v/>
      </c>
      <c r="F537" s="11" t="str">
        <f t="shared" si="345"/>
        <v>372418</v>
      </c>
      <c r="G537" s="11" t="str">
        <f t="shared" si="346"/>
        <v>2017toJAN</v>
      </c>
      <c r="H537" s="11" t="str">
        <f t="shared" si="347"/>
        <v>CRSP06B</v>
      </c>
      <c r="I537" s="11" t="str">
        <f t="shared" si="348"/>
        <v>34</v>
      </c>
      <c r="J537" s="11" t="str">
        <f t="shared" si="349"/>
        <v>Creditor</v>
      </c>
      <c r="K537" s="11" t="str">
        <f>"CS001751"</f>
        <v>CS001751</v>
      </c>
      <c r="L537" s="10" t="str">
        <f>"Post Office Ltd"</f>
        <v>Post Office Ltd</v>
      </c>
      <c r="M537" s="12" t="str">
        <f>"10/01/2017 00:00:00"</f>
        <v>10/01/2017 00:00:00</v>
      </c>
      <c r="N537" s="12">
        <v>42745</v>
      </c>
      <c r="O537" s="10" t="str">
        <f>"C007185"</f>
        <v>C007185</v>
      </c>
      <c r="P537" s="13">
        <v>690</v>
      </c>
      <c r="Q537" s="11" t="str">
        <f>"690.0000"</f>
        <v>690.0000</v>
      </c>
      <c r="R537" s="10" t="str">
        <f>"059210"</f>
        <v>059210</v>
      </c>
      <c r="S537" s="14" t="str">
        <f>"890.0000"</f>
        <v>890.0000</v>
      </c>
      <c r="T537" s="10">
        <v>25700</v>
      </c>
      <c r="U537" s="10">
        <v>1304</v>
      </c>
      <c r="V537" s="10" t="str">
        <f>"Direct transport costs"</f>
        <v>Direct transport costs</v>
      </c>
      <c r="W537" s="10" t="str">
        <f>"Transport Related Expenditure"</f>
        <v>Transport Related Expenditure</v>
      </c>
      <c r="X537" s="10" t="str">
        <f>VLOOKUP(U537,'[1]Account code lookup'!A:B,2,0)</f>
        <v>Road Fund Licence</v>
      </c>
      <c r="Z537" s="10" t="str">
        <f t="shared" si="357"/>
        <v>Environmental Services</v>
      </c>
      <c r="AA537" s="10" t="str">
        <f t="shared" si="358"/>
        <v>Operations and Delivery</v>
      </c>
      <c r="AB537" s="10" t="str">
        <f t="shared" si="359"/>
        <v>5oad</v>
      </c>
      <c r="AD537" s="10" t="str">
        <f t="shared" si="360"/>
        <v>oad02</v>
      </c>
      <c r="AE537" s="10" t="str">
        <f>"Environmental Services / Vehicle Maintenance &amp; MOT`s"</f>
        <v>Environmental Services / Vehicle Maintenance &amp; MOT`s</v>
      </c>
      <c r="AG537" s="10" t="str">
        <f>"25700/1304"</f>
        <v>25700/1304</v>
      </c>
      <c r="AI537" s="10" t="str">
        <f>"13trans"</f>
        <v>13trans</v>
      </c>
      <c r="AJ537" s="15" t="str">
        <f>"Road Tax - December 2016"</f>
        <v>Road Tax - December 2016</v>
      </c>
      <c r="AK537" s="10" t="str">
        <f t="shared" si="356"/>
        <v>Revenue</v>
      </c>
      <c r="AL537" s="10" t="str">
        <f>""</f>
        <v/>
      </c>
      <c r="AM537" s="10" t="str">
        <f>""</f>
        <v/>
      </c>
      <c r="AN537" s="10" t="str">
        <f>""</f>
        <v/>
      </c>
      <c r="AO537" s="10" t="str">
        <f>""</f>
        <v/>
      </c>
    </row>
    <row r="538" spans="1:41" s="10" customFormat="1" ht="409.6">
      <c r="A538" s="9"/>
      <c r="B538" s="9"/>
      <c r="C538" s="9"/>
      <c r="D538" s="10" t="str">
        <f>"34139"</f>
        <v>34139</v>
      </c>
      <c r="E538" s="11" t="str">
        <f>""</f>
        <v/>
      </c>
      <c r="F538" s="11" t="str">
        <f t="shared" si="345"/>
        <v>372418</v>
      </c>
      <c r="G538" s="11" t="str">
        <f t="shared" si="346"/>
        <v>2017toJAN</v>
      </c>
      <c r="H538" s="11" t="str">
        <f t="shared" si="347"/>
        <v>CRSP06B</v>
      </c>
      <c r="I538" s="11" t="str">
        <f t="shared" si="348"/>
        <v>34</v>
      </c>
      <c r="J538" s="11" t="str">
        <f t="shared" si="349"/>
        <v>Creditor</v>
      </c>
      <c r="K538" s="11" t="str">
        <f>"CS001751"</f>
        <v>CS001751</v>
      </c>
      <c r="L538" s="10" t="str">
        <f>"Post Office Ltd"</f>
        <v>Post Office Ltd</v>
      </c>
      <c r="M538" s="12" t="str">
        <f>"10/01/2017 00:00:00"</f>
        <v>10/01/2017 00:00:00</v>
      </c>
      <c r="N538" s="12">
        <v>42745</v>
      </c>
      <c r="O538" s="10" t="str">
        <f>"C007185"</f>
        <v>C007185</v>
      </c>
      <c r="P538" s="13">
        <v>200</v>
      </c>
      <c r="Q538" s="11" t="str">
        <f>"200.0000"</f>
        <v>200.0000</v>
      </c>
      <c r="R538" s="10" t="str">
        <f>"059210"</f>
        <v>059210</v>
      </c>
      <c r="S538" s="14" t="str">
        <f>"890.0000"</f>
        <v>890.0000</v>
      </c>
      <c r="T538" s="10">
        <v>25801</v>
      </c>
      <c r="U538" s="10">
        <v>1304</v>
      </c>
      <c r="V538" s="10" t="str">
        <f>"Direct transport costs"</f>
        <v>Direct transport costs</v>
      </c>
      <c r="W538" s="10" t="str">
        <f>"Transport Related Expenditure"</f>
        <v>Transport Related Expenditure</v>
      </c>
      <c r="X538" s="10" t="str">
        <f>VLOOKUP(U538,'[1]Account code lookup'!A:B,2,0)</f>
        <v>Road Fund Licence</v>
      </c>
      <c r="Z538" s="10" t="str">
        <f t="shared" si="357"/>
        <v>Environmental Services</v>
      </c>
      <c r="AA538" s="10" t="str">
        <f t="shared" si="358"/>
        <v>Operations and Delivery</v>
      </c>
      <c r="AB538" s="10" t="str">
        <f t="shared" si="359"/>
        <v>5oad</v>
      </c>
      <c r="AD538" s="10" t="str">
        <f t="shared" si="360"/>
        <v>oad02</v>
      </c>
      <c r="AE538" s="10" t="str">
        <f>"Environmental Services / Vehicle Maintenance &amp; MOT`s"</f>
        <v>Environmental Services / Vehicle Maintenance &amp; MOT`s</v>
      </c>
      <c r="AG538" s="10" t="str">
        <f>"25801/1304"</f>
        <v>25801/1304</v>
      </c>
      <c r="AI538" s="10" t="str">
        <f>"13trans"</f>
        <v>13trans</v>
      </c>
      <c r="AJ538" s="15" t="str">
        <f>"Road Tax - December 2016"</f>
        <v>Road Tax - December 2016</v>
      </c>
      <c r="AK538" s="10" t="str">
        <f t="shared" si="356"/>
        <v>Revenue</v>
      </c>
      <c r="AL538" s="10" t="str">
        <f>""</f>
        <v/>
      </c>
      <c r="AM538" s="10" t="str">
        <f>""</f>
        <v/>
      </c>
      <c r="AN538" s="10" t="str">
        <f>""</f>
        <v/>
      </c>
      <c r="AO538" s="10" t="str">
        <f>""</f>
        <v/>
      </c>
    </row>
    <row r="539" spans="1:41" s="10" customFormat="1" ht="409.6">
      <c r="A539" s="9"/>
      <c r="B539" s="9"/>
      <c r="C539" s="9"/>
      <c r="D539" s="10" t="str">
        <f>"34140"</f>
        <v>34140</v>
      </c>
      <c r="E539" s="11" t="str">
        <f>""</f>
        <v/>
      </c>
      <c r="F539" s="11" t="str">
        <f t="shared" si="345"/>
        <v>372418</v>
      </c>
      <c r="G539" s="11" t="str">
        <f t="shared" si="346"/>
        <v>2017toJAN</v>
      </c>
      <c r="H539" s="11" t="str">
        <f t="shared" si="347"/>
        <v>CRSP06B</v>
      </c>
      <c r="I539" s="11" t="str">
        <f t="shared" si="348"/>
        <v>34</v>
      </c>
      <c r="J539" s="11" t="str">
        <f t="shared" si="349"/>
        <v>Creditor</v>
      </c>
      <c r="K539" s="11" t="str">
        <f>"CS001751"</f>
        <v>CS001751</v>
      </c>
      <c r="L539" s="10" t="str">
        <f>"Post Office Ltd"</f>
        <v>Post Office Ltd</v>
      </c>
      <c r="M539" s="12" t="str">
        <f>"26/01/2017 00:00:00"</f>
        <v>26/01/2017 00:00:00</v>
      </c>
      <c r="N539" s="12">
        <v>42761</v>
      </c>
      <c r="O539" s="10" t="str">
        <f>"C008097"</f>
        <v>C008097</v>
      </c>
      <c r="P539" s="13">
        <v>165</v>
      </c>
      <c r="Q539" s="11" t="str">
        <f>"165.0000"</f>
        <v>165.0000</v>
      </c>
      <c r="R539" s="10" t="str">
        <f>"059260"</f>
        <v>059260</v>
      </c>
      <c r="S539" s="14" t="str">
        <f>"1735.0000"</f>
        <v>1735.0000</v>
      </c>
      <c r="T539" s="10">
        <v>24110</v>
      </c>
      <c r="U539" s="10">
        <v>1304</v>
      </c>
      <c r="V539" s="10" t="str">
        <f>"Direct transport costs"</f>
        <v>Direct transport costs</v>
      </c>
      <c r="W539" s="10" t="str">
        <f>"Transport Related Expenditure"</f>
        <v>Transport Related Expenditure</v>
      </c>
      <c r="X539" s="10" t="str">
        <f>VLOOKUP(U539,'[1]Account code lookup'!A:B,2,0)</f>
        <v>Road Fund Licence</v>
      </c>
      <c r="Z539" s="10" t="str">
        <f>"Community Services"</f>
        <v>Community Services</v>
      </c>
      <c r="AA539" s="10" t="str">
        <f t="shared" si="358"/>
        <v>Operations and Delivery</v>
      </c>
      <c r="AB539" s="10" t="str">
        <f t="shared" si="359"/>
        <v>5oad</v>
      </c>
      <c r="AD539" s="10" t="str">
        <f>"oad01"</f>
        <v>oad01</v>
      </c>
      <c r="AE539" s="10" t="str">
        <f>"Environmental Services / Vehicle Maintenance &amp; MOT`s"</f>
        <v>Environmental Services / Vehicle Maintenance &amp; MOT`s</v>
      </c>
      <c r="AG539" s="10" t="str">
        <f>"24110/1304"</f>
        <v>24110/1304</v>
      </c>
      <c r="AI539" s="10" t="str">
        <f>"13trans"</f>
        <v>13trans</v>
      </c>
      <c r="AJ539" s="15" t="str">
        <f>"Road Tax - January 2017"</f>
        <v>Road Tax - January 2017</v>
      </c>
      <c r="AK539" s="10" t="str">
        <f t="shared" si="356"/>
        <v>Revenue</v>
      </c>
      <c r="AL539" s="10" t="str">
        <f>""</f>
        <v/>
      </c>
      <c r="AM539" s="10" t="str">
        <f>""</f>
        <v/>
      </c>
      <c r="AN539" s="10" t="str">
        <f>""</f>
        <v/>
      </c>
      <c r="AO539" s="10" t="str">
        <f>""</f>
        <v/>
      </c>
    </row>
    <row r="540" spans="1:41" s="10" customFormat="1" ht="409.6">
      <c r="A540" s="9"/>
      <c r="B540" s="9"/>
      <c r="C540" s="9"/>
      <c r="D540" s="10" t="str">
        <f>"34141"</f>
        <v>34141</v>
      </c>
      <c r="E540" s="11" t="str">
        <f>""</f>
        <v/>
      </c>
      <c r="F540" s="11" t="str">
        <f t="shared" si="345"/>
        <v>372418</v>
      </c>
      <c r="G540" s="11" t="str">
        <f t="shared" si="346"/>
        <v>2017toJAN</v>
      </c>
      <c r="H540" s="11" t="str">
        <f t="shared" si="347"/>
        <v>CRSP06B</v>
      </c>
      <c r="I540" s="11" t="str">
        <f t="shared" si="348"/>
        <v>34</v>
      </c>
      <c r="J540" s="11" t="str">
        <f t="shared" si="349"/>
        <v>Creditor</v>
      </c>
      <c r="K540" s="11" t="str">
        <f>"CS001751"</f>
        <v>CS001751</v>
      </c>
      <c r="L540" s="10" t="str">
        <f>"Post Office Ltd"</f>
        <v>Post Office Ltd</v>
      </c>
      <c r="M540" s="12" t="str">
        <f>"26/01/2017 00:00:00"</f>
        <v>26/01/2017 00:00:00</v>
      </c>
      <c r="N540" s="12">
        <v>42761</v>
      </c>
      <c r="O540" s="10" t="str">
        <f>"C008097"</f>
        <v>C008097</v>
      </c>
      <c r="P540" s="13">
        <v>690</v>
      </c>
      <c r="Q540" s="11" t="str">
        <f>"690.0000"</f>
        <v>690.0000</v>
      </c>
      <c r="R540" s="10" t="str">
        <f>"059260"</f>
        <v>059260</v>
      </c>
      <c r="S540" s="14" t="str">
        <f>"1735.0000"</f>
        <v>1735.0000</v>
      </c>
      <c r="T540" s="10">
        <v>25700</v>
      </c>
      <c r="U540" s="10">
        <v>1304</v>
      </c>
      <c r="V540" s="10" t="str">
        <f>"Direct transport costs"</f>
        <v>Direct transport costs</v>
      </c>
      <c r="W540" s="10" t="str">
        <f>"Transport Related Expenditure"</f>
        <v>Transport Related Expenditure</v>
      </c>
      <c r="X540" s="10" t="str">
        <f>VLOOKUP(U540,'[1]Account code lookup'!A:B,2,0)</f>
        <v>Road Fund Licence</v>
      </c>
      <c r="Z540" s="10" t="str">
        <f>"Environmental Services"</f>
        <v>Environmental Services</v>
      </c>
      <c r="AA540" s="10" t="str">
        <f t="shared" si="358"/>
        <v>Operations and Delivery</v>
      </c>
      <c r="AB540" s="10" t="str">
        <f t="shared" si="359"/>
        <v>5oad</v>
      </c>
      <c r="AD540" s="10" t="str">
        <f>"oad02"</f>
        <v>oad02</v>
      </c>
      <c r="AE540" s="10" t="str">
        <f>"Environmental Services / Vehicle Maintenance &amp; MOT`s"</f>
        <v>Environmental Services / Vehicle Maintenance &amp; MOT`s</v>
      </c>
      <c r="AG540" s="10" t="str">
        <f>"25700/1304"</f>
        <v>25700/1304</v>
      </c>
      <c r="AI540" s="10" t="str">
        <f>"13trans"</f>
        <v>13trans</v>
      </c>
      <c r="AJ540" s="15" t="str">
        <f>"Road Tax - January 2017"</f>
        <v>Road Tax - January 2017</v>
      </c>
      <c r="AK540" s="10" t="str">
        <f t="shared" si="356"/>
        <v>Revenue</v>
      </c>
      <c r="AL540" s="10" t="str">
        <f>""</f>
        <v/>
      </c>
      <c r="AM540" s="10" t="str">
        <f>""</f>
        <v/>
      </c>
      <c r="AN540" s="10" t="str">
        <f>""</f>
        <v/>
      </c>
      <c r="AO540" s="10" t="str">
        <f>""</f>
        <v/>
      </c>
    </row>
    <row r="541" spans="1:41" s="10" customFormat="1" ht="409.6">
      <c r="A541" s="9"/>
      <c r="B541" s="9"/>
      <c r="C541" s="9"/>
      <c r="D541" s="10" t="str">
        <f>"34142"</f>
        <v>34142</v>
      </c>
      <c r="E541" s="11" t="str">
        <f>""</f>
        <v/>
      </c>
      <c r="F541" s="11" t="str">
        <f t="shared" si="345"/>
        <v>372418</v>
      </c>
      <c r="G541" s="11" t="str">
        <f t="shared" si="346"/>
        <v>2017toJAN</v>
      </c>
      <c r="H541" s="11" t="str">
        <f t="shared" si="347"/>
        <v>CRSP06B</v>
      </c>
      <c r="I541" s="11" t="str">
        <f t="shared" si="348"/>
        <v>34</v>
      </c>
      <c r="J541" s="11" t="str">
        <f t="shared" si="349"/>
        <v>Creditor</v>
      </c>
      <c r="K541" s="11" t="str">
        <f>"CS001751"</f>
        <v>CS001751</v>
      </c>
      <c r="L541" s="10" t="str">
        <f>"Post Office Ltd"</f>
        <v>Post Office Ltd</v>
      </c>
      <c r="M541" s="12" t="str">
        <f>"26/01/2017 00:00:00"</f>
        <v>26/01/2017 00:00:00</v>
      </c>
      <c r="N541" s="12">
        <v>42761</v>
      </c>
      <c r="O541" s="10" t="str">
        <f>"C008097"</f>
        <v>C008097</v>
      </c>
      <c r="P541" s="13">
        <v>880</v>
      </c>
      <c r="Q541" s="11" t="str">
        <f>"880.0000"</f>
        <v>880.0000</v>
      </c>
      <c r="R541" s="10" t="str">
        <f>"059260"</f>
        <v>059260</v>
      </c>
      <c r="S541" s="14" t="str">
        <f>"1735.0000"</f>
        <v>1735.0000</v>
      </c>
      <c r="T541" s="10">
        <v>25801</v>
      </c>
      <c r="U541" s="10">
        <v>1304</v>
      </c>
      <c r="V541" s="10" t="str">
        <f>"Direct transport costs"</f>
        <v>Direct transport costs</v>
      </c>
      <c r="W541" s="10" t="str">
        <f>"Transport Related Expenditure"</f>
        <v>Transport Related Expenditure</v>
      </c>
      <c r="X541" s="10" t="str">
        <f>VLOOKUP(U541,'[1]Account code lookup'!A:B,2,0)</f>
        <v>Road Fund Licence</v>
      </c>
      <c r="Z541" s="10" t="str">
        <f>"Environmental Services"</f>
        <v>Environmental Services</v>
      </c>
      <c r="AA541" s="10" t="str">
        <f t="shared" si="358"/>
        <v>Operations and Delivery</v>
      </c>
      <c r="AB541" s="10" t="str">
        <f t="shared" si="359"/>
        <v>5oad</v>
      </c>
      <c r="AD541" s="10" t="str">
        <f>"oad02"</f>
        <v>oad02</v>
      </c>
      <c r="AE541" s="10" t="str">
        <f>"Environmental Services / Vehicle Maintenance &amp; MOT`s"</f>
        <v>Environmental Services / Vehicle Maintenance &amp; MOT`s</v>
      </c>
      <c r="AG541" s="10" t="str">
        <f>"25801/1304"</f>
        <v>25801/1304</v>
      </c>
      <c r="AI541" s="10" t="str">
        <f>"13trans"</f>
        <v>13trans</v>
      </c>
      <c r="AJ541" s="15" t="str">
        <f>"Road Tax - January 2017"</f>
        <v>Road Tax - January 2017</v>
      </c>
      <c r="AK541" s="10" t="str">
        <f t="shared" si="356"/>
        <v>Revenue</v>
      </c>
      <c r="AL541" s="10" t="str">
        <f>""</f>
        <v/>
      </c>
      <c r="AM541" s="10" t="str">
        <f>""</f>
        <v/>
      </c>
      <c r="AN541" s="10" t="str">
        <f>""</f>
        <v/>
      </c>
      <c r="AO541" s="10" t="str">
        <f>""</f>
        <v/>
      </c>
    </row>
    <row r="542" spans="1:41" s="10" customFormat="1" ht="409.6">
      <c r="A542" s="9"/>
      <c r="B542" s="9"/>
      <c r="C542" s="9"/>
      <c r="D542" s="10" t="str">
        <f>"34143"</f>
        <v>34143</v>
      </c>
      <c r="E542" s="11" t="str">
        <f>""</f>
        <v/>
      </c>
      <c r="F542" s="11" t="str">
        <f t="shared" si="345"/>
        <v>372418</v>
      </c>
      <c r="G542" s="11" t="str">
        <f t="shared" si="346"/>
        <v>2017toJAN</v>
      </c>
      <c r="H542" s="11" t="str">
        <f t="shared" si="347"/>
        <v>CRSP06B</v>
      </c>
      <c r="I542" s="11" t="str">
        <f t="shared" si="348"/>
        <v>34</v>
      </c>
      <c r="J542" s="11" t="str">
        <f t="shared" si="349"/>
        <v>Creditor</v>
      </c>
      <c r="K542" s="11" t="str">
        <f>"CS001760"</f>
        <v>CS001760</v>
      </c>
      <c r="L542" s="10" t="str">
        <f>"Price Waterhouse Coopers"</f>
        <v>Price Waterhouse Coopers</v>
      </c>
      <c r="M542" s="12" t="str">
        <f>"06/01/2017 00:00:00"</f>
        <v>06/01/2017 00:00:00</v>
      </c>
      <c r="N542" s="12">
        <v>42741</v>
      </c>
      <c r="O542" s="10" t="str">
        <f>"C007301"</f>
        <v>C007301</v>
      </c>
      <c r="P542" s="13">
        <v>1500</v>
      </c>
      <c r="Q542" s="11" t="str">
        <f>"1500.0000"</f>
        <v>1500.0000</v>
      </c>
      <c r="R542" s="10" t="str">
        <f>"C0004306"</f>
        <v>C0004306</v>
      </c>
      <c r="S542" s="14" t="str">
        <f>"1800.0000"</f>
        <v>1800.0000</v>
      </c>
      <c r="T542" s="10">
        <v>28404</v>
      </c>
      <c r="U542" s="10">
        <v>1164</v>
      </c>
      <c r="V542" s="10" t="str">
        <f>"Indirect employee expenses"</f>
        <v>Indirect employee expenses</v>
      </c>
      <c r="W542" s="10" t="str">
        <f>"Employees"</f>
        <v>Employees</v>
      </c>
      <c r="X542" s="10" t="str">
        <f>VLOOKUP(U542,'[1]Account code lookup'!A:B,2,0)</f>
        <v>CPD Training</v>
      </c>
      <c r="Z542" s="10" t="str">
        <f>"Finance and Procurement"</f>
        <v>Finance and Procurement</v>
      </c>
      <c r="AA542" s="10" t="str">
        <f>"Chief Finance Officer"</f>
        <v>Chief Finance Officer</v>
      </c>
      <c r="AB542" s="10" t="str">
        <f>"3cfo"</f>
        <v>3cfo</v>
      </c>
      <c r="AD542" s="10" t="str">
        <f>"cfo02"</f>
        <v>cfo02</v>
      </c>
      <c r="AE542" s="10" t="str">
        <f>"Finance &amp; Procurement / Finance"</f>
        <v>Finance &amp; Procurement / Finance</v>
      </c>
      <c r="AG542" s="10" t="str">
        <f>"28404/1164"</f>
        <v>28404/1164</v>
      </c>
      <c r="AI542" s="10" t="str">
        <f>"11emps"</f>
        <v>11emps</v>
      </c>
      <c r="AJ542" s="15" t="str">
        <f>"Fraud Awareness Session"</f>
        <v>Fraud Awareness Session</v>
      </c>
      <c r="AK542" s="10" t="str">
        <f t="shared" si="356"/>
        <v>Revenue</v>
      </c>
      <c r="AL542" s="10" t="str">
        <f>""</f>
        <v/>
      </c>
      <c r="AM542" s="10" t="str">
        <f>""</f>
        <v/>
      </c>
      <c r="AN542" s="10" t="str">
        <f>""</f>
        <v/>
      </c>
      <c r="AO542" s="10" t="str">
        <f>""</f>
        <v/>
      </c>
    </row>
    <row r="543" spans="1:41" s="10" customFormat="1" ht="409.6">
      <c r="A543" s="9"/>
      <c r="B543" s="9"/>
      <c r="C543" s="9"/>
      <c r="D543" s="10" t="str">
        <f>"34146"</f>
        <v>34146</v>
      </c>
      <c r="E543" s="11" t="str">
        <f>""</f>
        <v/>
      </c>
      <c r="F543" s="11" t="str">
        <f t="shared" si="345"/>
        <v>372418</v>
      </c>
      <c r="G543" s="11" t="str">
        <f t="shared" si="346"/>
        <v>2017toJAN</v>
      </c>
      <c r="H543" s="11" t="str">
        <f t="shared" si="347"/>
        <v>CRSP06B</v>
      </c>
      <c r="I543" s="11" t="str">
        <f t="shared" si="348"/>
        <v>34</v>
      </c>
      <c r="J543" s="11" t="str">
        <f t="shared" si="349"/>
        <v>Creditor</v>
      </c>
      <c r="K543" s="11" t="str">
        <f>"CS001405"</f>
        <v>CS001405</v>
      </c>
      <c r="L543" s="10" t="str">
        <f>"Punch Partnerships (PPCS) Ltd"</f>
        <v>Punch Partnerships (PPCS) Ltd</v>
      </c>
      <c r="M543" s="12" t="str">
        <f>"20/01/2017 00:00:00"</f>
        <v>20/01/2017 00:00:00</v>
      </c>
      <c r="N543" s="12">
        <v>42755</v>
      </c>
      <c r="O543" s="10" t="str">
        <f>"C008036"</f>
        <v>C008036</v>
      </c>
      <c r="P543" s="13">
        <v>9525</v>
      </c>
      <c r="Q543" s="11" t="str">
        <f>"9525.0000"</f>
        <v>9525.0000</v>
      </c>
      <c r="R543" s="10" t="str">
        <f>"C0004500"</f>
        <v>C0004500</v>
      </c>
      <c r="S543" s="14" t="str">
        <f>"9520.0000"</f>
        <v>9520.0000</v>
      </c>
      <c r="T543" s="10">
        <v>28630</v>
      </c>
      <c r="U543" s="10">
        <v>1490</v>
      </c>
      <c r="V543" s="10" t="str">
        <f>"Services"</f>
        <v>Services</v>
      </c>
      <c r="W543" s="10" t="str">
        <f>"Supplies and Services"</f>
        <v>Supplies and Services</v>
      </c>
      <c r="X543" s="10" t="str">
        <f>VLOOKUP(U543,'[1]Account code lookup'!A:B,2,0)</f>
        <v>B&amp;B charges</v>
      </c>
      <c r="Z543" s="10" t="str">
        <f>"Regeneration and Housing"</f>
        <v>Regeneration and Housing</v>
      </c>
      <c r="AA543" s="10" t="str">
        <f>"Commercial Development"</f>
        <v>Commercial Development</v>
      </c>
      <c r="AB543" s="10" t="str">
        <f>"2cdb"</f>
        <v>2cdb</v>
      </c>
      <c r="AD543" s="10" t="str">
        <f>"cdb02"</f>
        <v>cdb02</v>
      </c>
      <c r="AE543" s="10" t="str">
        <f>"Regeneration &amp; Housing / Housing Needs"</f>
        <v>Regeneration &amp; Housing / Housing Needs</v>
      </c>
      <c r="AG543" s="10" t="str">
        <f>"28630/1490"</f>
        <v>28630/1490</v>
      </c>
      <c r="AI543" s="10" t="str">
        <f>"14suse"</f>
        <v>14suse</v>
      </c>
      <c r="AJ543" s="15" t="str">
        <f>"Musketeer Motel - 7 November - 4 December 2016 - 28 nights  - 10 rooms @ £34"</f>
        <v>Musketeer Motel - 7 November - 4 December 2016 - 28 nights  - 10 rooms @ £34</v>
      </c>
      <c r="AK543" s="10" t="str">
        <f t="shared" ref="AK543:AK550" si="361">"Revenue"</f>
        <v>Revenue</v>
      </c>
      <c r="AL543" s="10" t="str">
        <f>""</f>
        <v/>
      </c>
      <c r="AM543" s="10" t="str">
        <f>""</f>
        <v/>
      </c>
      <c r="AN543" s="10" t="str">
        <f>""</f>
        <v/>
      </c>
      <c r="AO543" s="10" t="str">
        <f>""</f>
        <v/>
      </c>
    </row>
    <row r="544" spans="1:41" s="10" customFormat="1" ht="409.6">
      <c r="A544" s="9"/>
      <c r="B544" s="9"/>
      <c r="C544" s="9"/>
      <c r="D544" s="10" t="str">
        <f>"34147"</f>
        <v>34147</v>
      </c>
      <c r="E544" s="11" t="str">
        <f>""</f>
        <v/>
      </c>
      <c r="F544" s="11" t="str">
        <f t="shared" si="345"/>
        <v>372418</v>
      </c>
      <c r="G544" s="11" t="str">
        <f t="shared" si="346"/>
        <v>2017toJAN</v>
      </c>
      <c r="H544" s="11" t="str">
        <f t="shared" si="347"/>
        <v>CRSP06B</v>
      </c>
      <c r="I544" s="11" t="str">
        <f t="shared" si="348"/>
        <v>34</v>
      </c>
      <c r="J544" s="11" t="str">
        <f t="shared" si="349"/>
        <v>Creditor</v>
      </c>
      <c r="K544" s="11" t="str">
        <f>"CS001406"</f>
        <v>CS001406</v>
      </c>
      <c r="L544" s="10" t="str">
        <f>"Purchase Power"</f>
        <v>Purchase Power</v>
      </c>
      <c r="M544" s="12" t="str">
        <f>"13/01/2017 00:00:00"</f>
        <v>13/01/2017 00:00:00</v>
      </c>
      <c r="N544" s="12">
        <v>42748</v>
      </c>
      <c r="O544" s="10" t="str">
        <f>"C007437"</f>
        <v>C007437</v>
      </c>
      <c r="P544" s="13">
        <v>5074.4399999999996</v>
      </c>
      <c r="Q544" s="11" t="str">
        <f>"5074.4400"</f>
        <v>5074.4400</v>
      </c>
      <c r="R544" s="10" t="str">
        <f>"C0004408"</f>
        <v>C0004408</v>
      </c>
      <c r="S544" s="14" t="str">
        <f>"5074.4400"</f>
        <v>5074.4400</v>
      </c>
      <c r="T544" s="10">
        <v>21700</v>
      </c>
      <c r="U544" s="10">
        <v>1409</v>
      </c>
      <c r="V544" s="10" t="str">
        <f>"Equipment, furniture and mats"</f>
        <v>Equipment, furniture and mats</v>
      </c>
      <c r="W544" s="10" t="str">
        <f>"Supplies and Services"</f>
        <v>Supplies and Services</v>
      </c>
      <c r="X544" s="10" t="str">
        <f>VLOOKUP(U544,'[1]Account code lookup'!A:B,2,0)</f>
        <v>Repair &amp; Maintenance of Plant &amp; Equipmen</v>
      </c>
      <c r="Z544" s="10" t="str">
        <f>"Community Services"</f>
        <v>Community Services</v>
      </c>
      <c r="AA544" s="10" t="str">
        <f>"Operations and Delivery"</f>
        <v>Operations and Delivery</v>
      </c>
      <c r="AB544" s="10" t="str">
        <f>"5oad"</f>
        <v>5oad</v>
      </c>
      <c r="AD544" s="10" t="str">
        <f>"oad01"</f>
        <v>oad01</v>
      </c>
      <c r="AE544" s="10" t="str">
        <f>"Community Services / Customer Services"</f>
        <v>Community Services / Customer Services</v>
      </c>
      <c r="AG544" s="10" t="str">
        <f>"21700/1409"</f>
        <v>21700/1409</v>
      </c>
      <c r="AI544" s="10" t="str">
        <f>"14suse"</f>
        <v>14suse</v>
      </c>
      <c r="AJ544" s="15" t="str">
        <f>"Meter reset and fees"</f>
        <v>Meter reset and fees</v>
      </c>
      <c r="AK544" s="10" t="str">
        <f t="shared" si="361"/>
        <v>Revenue</v>
      </c>
      <c r="AL544" s="10" t="str">
        <f>""</f>
        <v/>
      </c>
      <c r="AM544" s="10" t="str">
        <f>""</f>
        <v/>
      </c>
      <c r="AN544" s="10" t="str">
        <f>""</f>
        <v/>
      </c>
      <c r="AO544" s="10" t="str">
        <f>""</f>
        <v/>
      </c>
    </row>
    <row r="545" spans="1:55" s="10" customFormat="1" ht="409.6">
      <c r="A545" s="9"/>
      <c r="B545" s="9"/>
      <c r="C545" s="9"/>
      <c r="D545" s="10" t="str">
        <f>"34805"</f>
        <v>34805</v>
      </c>
      <c r="E545" s="11" t="str">
        <f>""</f>
        <v/>
      </c>
      <c r="F545" s="11" t="str">
        <f t="shared" si="345"/>
        <v>372418</v>
      </c>
      <c r="G545" s="11" t="str">
        <f t="shared" si="346"/>
        <v>2017toJAN</v>
      </c>
      <c r="H545" s="11" t="str">
        <f t="shared" si="347"/>
        <v>CRSP06B</v>
      </c>
      <c r="I545" s="11" t="str">
        <f t="shared" si="348"/>
        <v>34</v>
      </c>
      <c r="J545" s="11" t="str">
        <f t="shared" si="349"/>
        <v>Creditor</v>
      </c>
      <c r="K545" s="11" t="str">
        <f>"CS001416"</f>
        <v>CS001416</v>
      </c>
      <c r="L545" s="10" t="str">
        <f>"Quadron Services Ltd"</f>
        <v>Quadron Services Ltd</v>
      </c>
      <c r="M545" s="12" t="str">
        <f>"27/01/2017 00:00:00"</f>
        <v>27/01/2017 00:00:00</v>
      </c>
      <c r="N545" s="12">
        <v>42762</v>
      </c>
      <c r="O545" s="10" t="str">
        <f>"C007656"</f>
        <v>C007656</v>
      </c>
      <c r="P545" s="13">
        <v>7760.63</v>
      </c>
      <c r="Q545" s="11" t="str">
        <f>"7760.6300"</f>
        <v>7760.6300</v>
      </c>
      <c r="R545" s="10" t="str">
        <f>"C0004605"</f>
        <v>C0004605</v>
      </c>
      <c r="S545" s="14" t="str">
        <f>"67155.2800"</f>
        <v>67155.2800</v>
      </c>
      <c r="T545" s="10">
        <v>24204</v>
      </c>
      <c r="U545" s="10">
        <v>1725</v>
      </c>
      <c r="V545" s="10" t="str">
        <f>"Private Contractors"</f>
        <v>Private Contractors</v>
      </c>
      <c r="W545" s="10" t="str">
        <f>"Third Party Payments"</f>
        <v>Third Party Payments</v>
      </c>
      <c r="X545" s="10" t="str">
        <f>VLOOKUP(U545,'[1]Account code lookup'!A:B,2,0)</f>
        <v>Contractor Ad Hoc Payments</v>
      </c>
      <c r="Z545" s="10" t="str">
        <f>"Environmental Services"</f>
        <v>Environmental Services</v>
      </c>
      <c r="AA545" s="10" t="str">
        <f>"Operations and Delivery"</f>
        <v>Operations and Delivery</v>
      </c>
      <c r="AB545" s="10" t="str">
        <f>"5oad"</f>
        <v>5oad</v>
      </c>
      <c r="AD545" s="10" t="str">
        <f>"oad02"</f>
        <v>oad02</v>
      </c>
      <c r="AE545" s="10" t="str">
        <f>"Environmental Services / Street Scene &amp; Landscape Services"</f>
        <v>Environmental Services / Street Scene &amp; Landscape Services</v>
      </c>
      <c r="AG545" s="10" t="str">
        <f>"24204/1725"</f>
        <v>24204/1725</v>
      </c>
      <c r="AI545" s="10" t="str">
        <f>"17tpp"</f>
        <v>17tpp</v>
      </c>
      <c r="AJ545" s="15" t="str">
        <f>"For tree work services in November 2016"</f>
        <v>For tree work services in November 2016</v>
      </c>
      <c r="AK545" s="10" t="str">
        <f t="shared" si="361"/>
        <v>Revenue</v>
      </c>
      <c r="AL545" s="10" t="str">
        <f>""</f>
        <v/>
      </c>
      <c r="AM545" s="10" t="str">
        <f>""</f>
        <v/>
      </c>
      <c r="AN545" s="10" t="str">
        <f>""</f>
        <v/>
      </c>
      <c r="AO545" s="10" t="str">
        <f>""</f>
        <v/>
      </c>
    </row>
    <row r="546" spans="1:55" s="10" customFormat="1" ht="409.6">
      <c r="A546" s="9"/>
      <c r="B546" s="9"/>
      <c r="C546" s="9"/>
      <c r="D546" s="10" t="str">
        <f>"34806"</f>
        <v>34806</v>
      </c>
      <c r="E546" s="11" t="str">
        <f>""</f>
        <v/>
      </c>
      <c r="F546" s="11" t="str">
        <f t="shared" si="345"/>
        <v>372418</v>
      </c>
      <c r="G546" s="11" t="str">
        <f t="shared" si="346"/>
        <v>2017toJAN</v>
      </c>
      <c r="H546" s="11" t="str">
        <f t="shared" si="347"/>
        <v>CRSP06B</v>
      </c>
      <c r="I546" s="11" t="str">
        <f t="shared" si="348"/>
        <v>34</v>
      </c>
      <c r="J546" s="11" t="str">
        <f t="shared" si="349"/>
        <v>Creditor</v>
      </c>
      <c r="K546" s="11" t="str">
        <f>"CS001416"</f>
        <v>CS001416</v>
      </c>
      <c r="L546" s="10" t="str">
        <f>"Quadron Services Ltd"</f>
        <v>Quadron Services Ltd</v>
      </c>
      <c r="M546" s="12" t="str">
        <f>"27/01/2017 00:00:00"</f>
        <v>27/01/2017 00:00:00</v>
      </c>
      <c r="N546" s="12">
        <v>42762</v>
      </c>
      <c r="O546" s="10" t="str">
        <f>"C007924"</f>
        <v>C007924</v>
      </c>
      <c r="P546" s="13">
        <v>47733.599999999999</v>
      </c>
      <c r="Q546" s="11" t="str">
        <f>"47733.6000"</f>
        <v>47733.6000</v>
      </c>
      <c r="R546" s="10" t="str">
        <f>"C0004605"</f>
        <v>C0004605</v>
      </c>
      <c r="S546" s="14" t="str">
        <f>"67155.2800"</f>
        <v>67155.2800</v>
      </c>
      <c r="T546" s="10">
        <v>24204</v>
      </c>
      <c r="U546" s="10">
        <v>1725</v>
      </c>
      <c r="V546" s="10" t="str">
        <f>"Private Contractors"</f>
        <v>Private Contractors</v>
      </c>
      <c r="W546" s="10" t="str">
        <f>"Third Party Payments"</f>
        <v>Third Party Payments</v>
      </c>
      <c r="X546" s="10" t="str">
        <f>VLOOKUP(U546,'[1]Account code lookup'!A:B,2,0)</f>
        <v>Contractor Ad Hoc Payments</v>
      </c>
      <c r="Z546" s="10" t="str">
        <f>"Environmental Services"</f>
        <v>Environmental Services</v>
      </c>
      <c r="AA546" s="10" t="str">
        <f>"Operations and Delivery"</f>
        <v>Operations and Delivery</v>
      </c>
      <c r="AB546" s="10" t="str">
        <f>"5oad"</f>
        <v>5oad</v>
      </c>
      <c r="AD546" s="10" t="str">
        <f>"oad02"</f>
        <v>oad02</v>
      </c>
      <c r="AE546" s="10" t="str">
        <f>"Finance &amp; Procurement / Head of Finance &amp; Procurement"</f>
        <v>Finance &amp; Procurement / Head of Finance &amp; Procurement</v>
      </c>
      <c r="AG546" s="10" t="str">
        <f>"24204/1725"</f>
        <v>24204/1725</v>
      </c>
      <c r="AI546" s="10" t="str">
        <f>"17tpp"</f>
        <v>17tpp</v>
      </c>
      <c r="AJ546" s="15" t="str">
        <f>"Landscape Maintenance Contract - November 2016."</f>
        <v>Landscape Maintenance Contract - November 2016.</v>
      </c>
      <c r="AK546" s="10" t="str">
        <f t="shared" si="361"/>
        <v>Revenue</v>
      </c>
      <c r="AL546" s="10" t="str">
        <f>""</f>
        <v/>
      </c>
      <c r="AM546" s="10" t="str">
        <f>""</f>
        <v/>
      </c>
      <c r="AN546" s="10" t="str">
        <f>""</f>
        <v/>
      </c>
      <c r="AO546" s="10" t="str">
        <f>""</f>
        <v/>
      </c>
    </row>
    <row r="547" spans="1:55" s="10" customFormat="1" ht="409.6">
      <c r="A547" s="9"/>
      <c r="B547" s="9"/>
      <c r="C547" s="9"/>
      <c r="D547" s="10" t="str">
        <f>"27797"</f>
        <v>27797</v>
      </c>
      <c r="E547" s="11" t="str">
        <f>""</f>
        <v/>
      </c>
      <c r="F547" s="11" t="str">
        <f t="shared" si="345"/>
        <v>372418</v>
      </c>
      <c r="G547" s="11" t="str">
        <f t="shared" si="346"/>
        <v>2017toJAN</v>
      </c>
      <c r="H547" s="11" t="str">
        <f t="shared" si="347"/>
        <v>CRSP06B</v>
      </c>
      <c r="I547" s="11" t="str">
        <f t="shared" si="348"/>
        <v>34</v>
      </c>
      <c r="J547" s="11" t="str">
        <f t="shared" si="349"/>
        <v>Creditor</v>
      </c>
      <c r="K547" s="11" t="str">
        <f>"CS001416"</f>
        <v>CS001416</v>
      </c>
      <c r="L547" s="10" t="str">
        <f>"Quadron Services Ltd"</f>
        <v>Quadron Services Ltd</v>
      </c>
      <c r="M547" s="12" t="str">
        <f>"27/01/2017 00:00:00"</f>
        <v>27/01/2017 00:00:00</v>
      </c>
      <c r="N547" s="12">
        <v>42762</v>
      </c>
      <c r="O547" s="10" t="str">
        <f>"C008051"</f>
        <v>C008051</v>
      </c>
      <c r="P547" s="13">
        <v>468.5</v>
      </c>
      <c r="Q547" s="11" t="str">
        <f>"468.5000"</f>
        <v>468.5000</v>
      </c>
      <c r="R547" s="10" t="str">
        <f>"C0004605"</f>
        <v>C0004605</v>
      </c>
      <c r="S547" s="14" t="str">
        <f>"67155.2800"</f>
        <v>67155.2800</v>
      </c>
      <c r="T547" s="10">
        <v>29510</v>
      </c>
      <c r="U547" s="10">
        <v>1280</v>
      </c>
      <c r="V547" s="10" t="str">
        <f>"Grounds maintenance costs"</f>
        <v>Grounds maintenance costs</v>
      </c>
      <c r="W547" s="10" t="str">
        <f>"Premises Related Expenditure"</f>
        <v>Premises Related Expenditure</v>
      </c>
      <c r="X547" s="10" t="str">
        <f>VLOOKUP(U547,'[1]Account code lookup'!A:B,2,0)</f>
        <v>Landscape Maintenance</v>
      </c>
      <c r="Z547" s="10" t="str">
        <f>"Regeneration and Housing"</f>
        <v>Regeneration and Housing</v>
      </c>
      <c r="AA547" s="10" t="str">
        <f>"Commercial Development"</f>
        <v>Commercial Development</v>
      </c>
      <c r="AB547" s="10" t="str">
        <f>"2cdb"</f>
        <v>2cdb</v>
      </c>
      <c r="AD547" s="10" t="str">
        <f>"cdb02"</f>
        <v>cdb02</v>
      </c>
      <c r="AE547" s="10" t="str">
        <f>"Regeneration &amp; Housing / Delivery Team"</f>
        <v>Regeneration &amp; Housing / Delivery Team</v>
      </c>
      <c r="AG547" s="10" t="str">
        <f>"29510/1280"</f>
        <v>29510/1280</v>
      </c>
      <c r="AI547" s="10" t="str">
        <f>"12prem"</f>
        <v>12prem</v>
      </c>
      <c r="AJ547" s="15" t="str">
        <f>"32C WOODPIECE ROAD:_x000D_
Landscape work part of project completion_x000D_
**needs to be transferred to woodpiece rd capital projects expenditure**_x000D_
Clear away weeds, treat and lay turf."</f>
        <v>32C WOODPIECE ROAD:_x000D_
Landscape work part of project completion_x000D_
**needs to be transferred to woodpiece rd capital projects expenditure**_x000D_
Clear away weeds, treat and lay turf.</v>
      </c>
      <c r="AK547" s="10" t="str">
        <f t="shared" si="361"/>
        <v>Revenue</v>
      </c>
      <c r="AL547" s="10" t="str">
        <f>""</f>
        <v/>
      </c>
      <c r="AM547" s="10" t="str">
        <f>""</f>
        <v/>
      </c>
      <c r="AN547" s="10" t="str">
        <f>""</f>
        <v/>
      </c>
      <c r="AO547" s="10" t="str">
        <f>""</f>
        <v/>
      </c>
    </row>
    <row r="548" spans="1:55" s="10" customFormat="1" ht="409.6">
      <c r="A548" s="9"/>
      <c r="B548" s="9"/>
      <c r="C548" s="9"/>
      <c r="D548" s="10" t="str">
        <f>"27798"</f>
        <v>27798</v>
      </c>
      <c r="E548" s="11" t="str">
        <f>""</f>
        <v/>
      </c>
      <c r="F548" s="11" t="str">
        <f t="shared" si="345"/>
        <v>372418</v>
      </c>
      <c r="G548" s="11" t="str">
        <f t="shared" si="346"/>
        <v>2017toJAN</v>
      </c>
      <c r="H548" s="11" t="str">
        <f t="shared" si="347"/>
        <v>CRSP06B</v>
      </c>
      <c r="I548" s="11" t="str">
        <f t="shared" si="348"/>
        <v>34</v>
      </c>
      <c r="J548" s="11" t="str">
        <f t="shared" si="349"/>
        <v>Creditor</v>
      </c>
      <c r="K548" s="11" t="str">
        <f>"CS001418"</f>
        <v>CS001418</v>
      </c>
      <c r="L548" s="10" t="str">
        <f>"Quartix Ltd"</f>
        <v>Quartix Ltd</v>
      </c>
      <c r="M548" s="12" t="str">
        <f>"25/01/2017 00:00:00"</f>
        <v>25/01/2017 00:00:00</v>
      </c>
      <c r="N548" s="12">
        <v>42760</v>
      </c>
      <c r="O548" s="10" t="str">
        <f>"C007716"</f>
        <v>C007716</v>
      </c>
      <c r="P548" s="13">
        <v>2205</v>
      </c>
      <c r="Q548" s="11" t="str">
        <f>"2205.0000"</f>
        <v>2205.0000</v>
      </c>
      <c r="R548" s="10" t="str">
        <f>"C0004556"</f>
        <v>C0004556</v>
      </c>
      <c r="S548" s="14" t="str">
        <f>"2646.0000"</f>
        <v>2646.0000</v>
      </c>
      <c r="T548" s="10">
        <v>25700</v>
      </c>
      <c r="U548" s="10">
        <v>1300</v>
      </c>
      <c r="V548" s="10" t="str">
        <f>"Direct transport costs"</f>
        <v>Direct transport costs</v>
      </c>
      <c r="W548" s="10" t="str">
        <f>"Transport Related Expenditure"</f>
        <v>Transport Related Expenditure</v>
      </c>
      <c r="X548" s="10" t="str">
        <f>VLOOKUP(U548,'[1]Account code lookup'!A:B,2,0)</f>
        <v>Vehicle Repair &amp; Maintenance</v>
      </c>
      <c r="Z548" s="10" t="str">
        <f>"Environmental Services"</f>
        <v>Environmental Services</v>
      </c>
      <c r="AA548" s="10" t="str">
        <f>"Operations and Delivery"</f>
        <v>Operations and Delivery</v>
      </c>
      <c r="AB548" s="10" t="str">
        <f>"5oad"</f>
        <v>5oad</v>
      </c>
      <c r="AD548" s="10" t="str">
        <f>"oad02"</f>
        <v>oad02</v>
      </c>
      <c r="AE548" s="10" t="str">
        <f>"Finance &amp; Procurement / Head of Finance &amp; Procurement"</f>
        <v>Finance &amp; Procurement / Head of Finance &amp; Procurement</v>
      </c>
      <c r="AG548" s="10" t="str">
        <f>"25700/1300"</f>
        <v>25700/1300</v>
      </c>
      <c r="AI548" s="10" t="str">
        <f>"13trans"</f>
        <v>13trans</v>
      </c>
      <c r="AJ548" s="15" t="str">
        <f>"Installation/Maintenance 2016/17"</f>
        <v>Installation/Maintenance 2016/17</v>
      </c>
      <c r="AK548" s="10" t="str">
        <f t="shared" si="361"/>
        <v>Revenue</v>
      </c>
      <c r="AL548" s="10" t="str">
        <f>""</f>
        <v/>
      </c>
      <c r="AM548" s="10" t="str">
        <f>""</f>
        <v/>
      </c>
      <c r="AN548" s="10" t="str">
        <f>""</f>
        <v/>
      </c>
      <c r="AO548" s="10" t="str">
        <f>""</f>
        <v/>
      </c>
    </row>
    <row r="549" spans="1:55" s="10" customFormat="1" ht="409.6">
      <c r="A549" s="9"/>
      <c r="B549" s="9"/>
      <c r="C549" s="9"/>
      <c r="D549" s="10" t="str">
        <f>"27865"</f>
        <v>27865</v>
      </c>
      <c r="E549" s="11" t="str">
        <f>""</f>
        <v/>
      </c>
      <c r="F549" s="11" t="str">
        <f t="shared" si="345"/>
        <v>372418</v>
      </c>
      <c r="G549" s="11" t="str">
        <f t="shared" si="346"/>
        <v>2017toJAN</v>
      </c>
      <c r="H549" s="11" t="str">
        <f t="shared" si="347"/>
        <v>CRSP06B</v>
      </c>
      <c r="I549" s="11" t="str">
        <f t="shared" si="348"/>
        <v>34</v>
      </c>
      <c r="J549" s="11" t="str">
        <f t="shared" si="349"/>
        <v>Creditor</v>
      </c>
      <c r="K549" s="11" t="str">
        <f>"CS001832"</f>
        <v>CS001832</v>
      </c>
      <c r="L549" s="10" t="str">
        <f>"Rhodes Rural Planning &amp; Land Management"</f>
        <v>Rhodes Rural Planning &amp; Land Management</v>
      </c>
      <c r="M549" s="12" t="str">
        <f>"09/01/2017 00:00:00"</f>
        <v>09/01/2017 00:00:00</v>
      </c>
      <c r="N549" s="12">
        <v>42744</v>
      </c>
      <c r="O549" s="10" t="str">
        <f>"C007247"</f>
        <v>C007247</v>
      </c>
      <c r="P549" s="13">
        <v>748</v>
      </c>
      <c r="Q549" s="11" t="str">
        <f>"748.0000"</f>
        <v>748.0000</v>
      </c>
      <c r="R549" s="10" t="str">
        <f>"C0004336"</f>
        <v>C0004336</v>
      </c>
      <c r="S549" s="14" t="str">
        <f>"748.0000"</f>
        <v>748.0000</v>
      </c>
      <c r="T549" s="10">
        <v>29110</v>
      </c>
      <c r="U549" s="10">
        <v>1767</v>
      </c>
      <c r="V549" s="10" t="str">
        <f>"Professional Fees"</f>
        <v>Professional Fees</v>
      </c>
      <c r="W549" s="10" t="str">
        <f>"Third Party Payments"</f>
        <v>Third Party Payments</v>
      </c>
      <c r="X549" s="10" t="str">
        <f>VLOOKUP(U549,'[1]Account code lookup'!A:B,2,0)</f>
        <v>Professional Fees</v>
      </c>
      <c r="Z549" s="10" t="str">
        <f>"Development Management"</f>
        <v>Development Management</v>
      </c>
      <c r="AA549" s="10" t="str">
        <f>"Strategy and Commissioning"</f>
        <v>Strategy and Commissioning</v>
      </c>
      <c r="AB549" s="10" t="str">
        <f>"4sac"</f>
        <v>4sac</v>
      </c>
      <c r="AD549" s="10" t="str">
        <f>"sac02"</f>
        <v>sac02</v>
      </c>
      <c r="AE549" s="10" t="str">
        <f>"Finance &amp; Procurement / Head of Finance &amp; Procurement"</f>
        <v>Finance &amp; Procurement / Head of Finance &amp; Procurement</v>
      </c>
      <c r="AG549" s="10" t="str">
        <f>"29110/1767"</f>
        <v>29110/1767</v>
      </c>
      <c r="AI549" s="10" t="str">
        <f>"17tpp"</f>
        <v>17tpp</v>
      </c>
      <c r="AJ549" s="15" t="str">
        <f>"Appraisal of a planning application - 16/02246/OUT Home Farm, Clifton £700_x000D_
Mileage    £48"</f>
        <v>Appraisal of a planning application - 16/02246/OUT Home Farm, Clifton £700_x000D_
Mileage    £48</v>
      </c>
      <c r="AK549" s="10" t="str">
        <f t="shared" si="361"/>
        <v>Revenue</v>
      </c>
      <c r="AL549" s="10" t="str">
        <f>""</f>
        <v/>
      </c>
      <c r="AM549" s="10" t="str">
        <f>""</f>
        <v/>
      </c>
      <c r="AN549" s="10" t="str">
        <f>""</f>
        <v/>
      </c>
      <c r="AO549" s="10" t="str">
        <f>""</f>
        <v/>
      </c>
    </row>
    <row r="550" spans="1:55" s="10" customFormat="1" ht="409.6">
      <c r="A550" s="9"/>
      <c r="B550" s="9"/>
      <c r="C550" s="9"/>
      <c r="D550" s="10" t="str">
        <f>"30270"</f>
        <v>30270</v>
      </c>
      <c r="E550" s="11" t="str">
        <f>""</f>
        <v/>
      </c>
      <c r="F550" s="11" t="str">
        <f t="shared" si="345"/>
        <v>372418</v>
      </c>
      <c r="G550" s="11" t="str">
        <f t="shared" si="346"/>
        <v>2017toJAN</v>
      </c>
      <c r="H550" s="11" t="str">
        <f t="shared" si="347"/>
        <v>CRSP06B</v>
      </c>
      <c r="I550" s="11" t="str">
        <f t="shared" si="348"/>
        <v>34</v>
      </c>
      <c r="J550" s="11" t="str">
        <f t="shared" si="349"/>
        <v>Creditor</v>
      </c>
      <c r="K550" s="11" t="str">
        <f>"CS001836"</f>
        <v>CS001836</v>
      </c>
      <c r="L550" s="10" t="str">
        <f>"Rics"</f>
        <v>Rics</v>
      </c>
      <c r="M550" s="12" t="str">
        <f>"23/01/2017 00:00:00"</f>
        <v>23/01/2017 00:00:00</v>
      </c>
      <c r="N550" s="12">
        <v>42758</v>
      </c>
      <c r="O550" s="10" t="str">
        <f>"C008049"</f>
        <v>C008049</v>
      </c>
      <c r="P550" s="13">
        <v>512</v>
      </c>
      <c r="Q550" s="11" t="str">
        <f>"512.0000"</f>
        <v>512.0000</v>
      </c>
      <c r="R550" s="10" t="str">
        <f>"C0004535"</f>
        <v>C0004535</v>
      </c>
      <c r="S550" s="14" t="str">
        <f>"512.0000"</f>
        <v>512.0000</v>
      </c>
      <c r="T550" s="10">
        <v>21723</v>
      </c>
      <c r="U550" s="10">
        <v>1171</v>
      </c>
      <c r="V550" s="10" t="str">
        <f>"Indirect employee expenses"</f>
        <v>Indirect employee expenses</v>
      </c>
      <c r="W550" s="10" t="str">
        <f>"Employees"</f>
        <v>Employees</v>
      </c>
      <c r="X550" s="10" t="str">
        <f>VLOOKUP(U550,'[1]Account code lookup'!A:B,2,0)</f>
        <v>Professional Subs.- Employees</v>
      </c>
      <c r="Z550" s="10" t="str">
        <f>"Regeneration and Housing"</f>
        <v>Regeneration and Housing</v>
      </c>
      <c r="AA550" s="10" t="str">
        <f>"Commercial Development"</f>
        <v>Commercial Development</v>
      </c>
      <c r="AB550" s="10" t="str">
        <f>"2cdb"</f>
        <v>2cdb</v>
      </c>
      <c r="AD550" s="10" t="str">
        <f>"cdb02"</f>
        <v>cdb02</v>
      </c>
      <c r="AE550" s="10" t="str">
        <f>"Finance &amp; Procurement / Finance"</f>
        <v>Finance &amp; Procurement / Finance</v>
      </c>
      <c r="AG550" s="10" t="str">
        <f>"21723/1171"</f>
        <v>21723/1171</v>
      </c>
      <c r="AI550" s="10" t="str">
        <f>"11emps"</f>
        <v>11emps</v>
      </c>
      <c r="AJ550" s="15" t="str">
        <f>"2017 PROFFESSIONAL RENEWAL_x000D_
_x000D_
John Slack_x000D_
Inv no 01496336FT1_x000D_
RICS NO 0853996"</f>
        <v>2017 PROFFESSIONAL RENEWAL_x000D_
_x000D_
John Slack_x000D_
Inv no 01496336FT1_x000D_
RICS NO 0853996</v>
      </c>
      <c r="AK550" s="10" t="str">
        <f t="shared" si="361"/>
        <v>Revenue</v>
      </c>
      <c r="AL550" s="10" t="str">
        <f>""</f>
        <v/>
      </c>
      <c r="AM550" s="10" t="str">
        <f>""</f>
        <v/>
      </c>
      <c r="AN550" s="10" t="str">
        <f>""</f>
        <v/>
      </c>
      <c r="AO550" s="10" t="str">
        <f>""</f>
        <v/>
      </c>
    </row>
    <row r="551" spans="1:55" s="10" customFormat="1" ht="409.6">
      <c r="A551" s="9"/>
      <c r="B551" s="9"/>
      <c r="C551" s="9"/>
      <c r="D551" s="10" t="str">
        <f>"30348"</f>
        <v>30348</v>
      </c>
      <c r="E551" s="11" t="str">
        <f>""</f>
        <v/>
      </c>
      <c r="F551" s="11" t="str">
        <f t="shared" si="345"/>
        <v>372418</v>
      </c>
      <c r="G551" s="11" t="str">
        <f t="shared" si="346"/>
        <v>2017toJAN</v>
      </c>
      <c r="H551" s="11" t="str">
        <f t="shared" si="347"/>
        <v>CRSP06B</v>
      </c>
      <c r="I551" s="11" t="str">
        <f t="shared" si="348"/>
        <v>34</v>
      </c>
      <c r="J551" s="11" t="str">
        <f t="shared" si="349"/>
        <v>Creditor</v>
      </c>
      <c r="K551" s="11" t="str">
        <f>"CS003102"</f>
        <v>CS003102</v>
      </c>
      <c r="L551" s="10" t="str">
        <f>"Right Surveyors South Mercia Ltd"</f>
        <v>Right Surveyors South Mercia Ltd</v>
      </c>
      <c r="M551" s="12" t="str">
        <f>"20/01/2017 00:00:00"</f>
        <v>20/01/2017 00:00:00</v>
      </c>
      <c r="N551" s="12">
        <v>42755</v>
      </c>
      <c r="O551" s="10" t="str">
        <f>"C007851"</f>
        <v>C007851</v>
      </c>
      <c r="P551" s="13">
        <v>1350</v>
      </c>
      <c r="Q551" s="11" t="str">
        <f>"1350.0000"</f>
        <v>1350.0000</v>
      </c>
      <c r="R551" s="10" t="str">
        <f>"C0004520"</f>
        <v>C0004520</v>
      </c>
      <c r="S551" s="14" t="str">
        <f>"1350.0000"</f>
        <v>1350.0000</v>
      </c>
      <c r="T551" s="10">
        <v>40075</v>
      </c>
      <c r="U551" s="10">
        <v>4100</v>
      </c>
      <c r="V551" s="10" t="str">
        <f>"Capital Works"</f>
        <v>Capital Works</v>
      </c>
      <c r="W551" s="10" t="str">
        <f>"Capital Works"</f>
        <v>Capital Works</v>
      </c>
      <c r="X551" s="10" t="str">
        <f>VLOOKUP(U551,'[1]Account code lookup'!A:B,2,0)</f>
        <v>Contractors Capital Payments</v>
      </c>
      <c r="Z551" s="10" t="str">
        <f>"Capital Regen and Housing"</f>
        <v>Capital Regen and Housing</v>
      </c>
      <c r="AA551" s="10" t="str">
        <f>"Commercial Development Capital"</f>
        <v>Commercial Development Capital</v>
      </c>
      <c r="AB551" s="10" t="str">
        <f>"c2cdb"</f>
        <v>c2cdb</v>
      </c>
      <c r="AD551" s="10" t="str">
        <f>"ccdb02"</f>
        <v>ccdb02</v>
      </c>
      <c r="AE551" s="10" t="str">
        <f>"Finance &amp; Procurement / Finance"</f>
        <v>Finance &amp; Procurement / Finance</v>
      </c>
      <c r="AG551" s="10" t="str">
        <f>"40075/4100"</f>
        <v>40075/4100</v>
      </c>
      <c r="AI551" s="10" t="str">
        <f>"41cwrk"</f>
        <v>41cwrk</v>
      </c>
      <c r="AJ551" s="15" t="str">
        <f>"ORCHARD WAY, BANBURY_x000D_
_x000D_
Schedule of condition survey report as requested by Louisa Butters"</f>
        <v>ORCHARD WAY, BANBURY_x000D_
_x000D_
Schedule of condition survey report as requested by Louisa Butters</v>
      </c>
      <c r="AK551" s="10" t="str">
        <f>"Capital"</f>
        <v>Capital</v>
      </c>
      <c r="AL551" s="10" t="str">
        <f>""</f>
        <v/>
      </c>
      <c r="AM551" s="10" t="str">
        <f>""</f>
        <v/>
      </c>
      <c r="AN551" s="10" t="str">
        <f>""</f>
        <v/>
      </c>
      <c r="AO551" s="10" t="str">
        <f>""</f>
        <v/>
      </c>
    </row>
    <row r="552" spans="1:55" s="10" customFormat="1" ht="409.6">
      <c r="A552" s="9"/>
      <c r="B552" s="9"/>
      <c r="C552" s="9"/>
      <c r="D552" s="10" t="str">
        <f>"30940"</f>
        <v>30940</v>
      </c>
      <c r="E552" s="11" t="str">
        <f>""</f>
        <v/>
      </c>
      <c r="F552" s="11" t="str">
        <f t="shared" si="345"/>
        <v>372418</v>
      </c>
      <c r="G552" s="11" t="str">
        <f t="shared" si="346"/>
        <v>2017toJAN</v>
      </c>
      <c r="H552" s="11" t="str">
        <f t="shared" si="347"/>
        <v>CRSP06B</v>
      </c>
      <c r="I552" s="11" t="str">
        <f t="shared" si="348"/>
        <v>34</v>
      </c>
      <c r="J552" s="11" t="str">
        <f t="shared" si="349"/>
        <v>Creditor</v>
      </c>
      <c r="K552" s="11" t="str">
        <f>"CS003073"</f>
        <v>CS003073</v>
      </c>
      <c r="L552" s="10" t="str">
        <f>"RMIF "</f>
        <v xml:space="preserve">RMIF </v>
      </c>
      <c r="M552" s="12" t="str">
        <f>"25/01/2017 00:00:00"</f>
        <v>25/01/2017 00:00:00</v>
      </c>
      <c r="N552" s="12">
        <v>42760</v>
      </c>
      <c r="O552" s="10" t="str">
        <f>"C007529"</f>
        <v>C007529</v>
      </c>
      <c r="P552" s="13">
        <v>1060</v>
      </c>
      <c r="Q552" s="11" t="str">
        <f>"1060.0000"</f>
        <v>1060.0000</v>
      </c>
      <c r="R552" s="10" t="str">
        <f>"C0004574"</f>
        <v>C0004574</v>
      </c>
      <c r="S552" s="14" t="str">
        <f>"1272.0000"</f>
        <v>1272.0000</v>
      </c>
      <c r="T552" s="10">
        <v>21706</v>
      </c>
      <c r="U552" s="10">
        <v>1171</v>
      </c>
      <c r="V552" s="10" t="str">
        <f>"Indirect employee expenses"</f>
        <v>Indirect employee expenses</v>
      </c>
      <c r="W552" s="10" t="str">
        <f>"Employees"</f>
        <v>Employees</v>
      </c>
      <c r="X552" s="10" t="str">
        <f>VLOOKUP(U552,'[1]Account code lookup'!A:B,2,0)</f>
        <v>Professional Subs.- Employees</v>
      </c>
      <c r="Z552" s="10" t="str">
        <f>"Environmental Services"</f>
        <v>Environmental Services</v>
      </c>
      <c r="AA552" s="10" t="str">
        <f>"Operations and Delivery"</f>
        <v>Operations and Delivery</v>
      </c>
      <c r="AB552" s="10" t="str">
        <f>"5oad"</f>
        <v>5oad</v>
      </c>
      <c r="AD552" s="10" t="str">
        <f>"oad02"</f>
        <v>oad02</v>
      </c>
      <c r="AE552" s="10" t="str">
        <f>"Environmental Services / Vehicle Maintenance &amp; MOT`s"</f>
        <v>Environmental Services / Vehicle Maintenance &amp; MOT`s</v>
      </c>
      <c r="AG552" s="10" t="str">
        <f>"21706/1171"</f>
        <v>21706/1171</v>
      </c>
      <c r="AI552" s="10" t="str">
        <f>"11emps"</f>
        <v>11emps</v>
      </c>
      <c r="AJ552" s="15" t="str">
        <f>"Associate Membership RMIF"</f>
        <v>Associate Membership RMIF</v>
      </c>
      <c r="AK552" s="10" t="str">
        <f t="shared" ref="AK552:AK567" si="362">"Revenue"</f>
        <v>Revenue</v>
      </c>
      <c r="AL552" s="10" t="str">
        <f>""</f>
        <v/>
      </c>
      <c r="AM552" s="10" t="str">
        <f>""</f>
        <v/>
      </c>
      <c r="AN552" s="10" t="str">
        <f>""</f>
        <v/>
      </c>
      <c r="AO552" s="10" t="str">
        <f>""</f>
        <v/>
      </c>
    </row>
    <row r="553" spans="1:55" s="10" customFormat="1" ht="409.6">
      <c r="A553" s="9"/>
      <c r="B553" s="9"/>
      <c r="C553" s="9"/>
      <c r="D553" s="10" t="str">
        <f>"30946"</f>
        <v>30946</v>
      </c>
      <c r="E553" s="11" t="str">
        <f>""</f>
        <v/>
      </c>
      <c r="F553" s="11" t="str">
        <f t="shared" si="345"/>
        <v>372418</v>
      </c>
      <c r="G553" s="11" t="str">
        <f t="shared" si="346"/>
        <v>2017toJAN</v>
      </c>
      <c r="H553" s="11" t="str">
        <f t="shared" si="347"/>
        <v>CRSP06B</v>
      </c>
      <c r="I553" s="11" t="str">
        <f t="shared" si="348"/>
        <v>34</v>
      </c>
      <c r="J553" s="11" t="str">
        <f t="shared" si="349"/>
        <v>Creditor</v>
      </c>
      <c r="K553" s="11" t="str">
        <f>"CS001843"</f>
        <v>CS001843</v>
      </c>
      <c r="L553" s="10" t="str">
        <f>"Robert Half Ltd"</f>
        <v>Robert Half Ltd</v>
      </c>
      <c r="M553" s="12" t="str">
        <f>"20/01/2017 00:00:00"</f>
        <v>20/01/2017 00:00:00</v>
      </c>
      <c r="N553" s="12">
        <v>42755</v>
      </c>
      <c r="O553" s="10" t="str">
        <f>"C007772"</f>
        <v>C007772</v>
      </c>
      <c r="P553" s="13">
        <v>403.2</v>
      </c>
      <c r="Q553" s="11" t="str">
        <f>"403.2000"</f>
        <v>403.2000</v>
      </c>
      <c r="R553" s="10" t="str">
        <f>"C0004508"</f>
        <v>C0004508</v>
      </c>
      <c r="S553" s="14" t="str">
        <f>"1293.8400"</f>
        <v>1293.8400</v>
      </c>
      <c r="T553" s="10">
        <v>21000</v>
      </c>
      <c r="U553" s="10">
        <v>1136</v>
      </c>
      <c r="V553" s="10" t="str">
        <f>"Direct employee exps and bens"</f>
        <v>Direct employee exps and bens</v>
      </c>
      <c r="W553" s="10" t="str">
        <f>"Employees"</f>
        <v>Employees</v>
      </c>
      <c r="X553" s="10" t="str">
        <f>VLOOKUP(U553,'[1]Account code lookup'!A:B,2,0)</f>
        <v>Agency Staff</v>
      </c>
      <c r="Z553" s="10" t="str">
        <f t="shared" ref="Z553:Z558" si="363">"Finance and Procurement"</f>
        <v>Finance and Procurement</v>
      </c>
      <c r="AA553" s="10" t="str">
        <f t="shared" ref="AA553:AA558" si="364">"Chief Finance Officer"</f>
        <v>Chief Finance Officer</v>
      </c>
      <c r="AB553" s="10" t="str">
        <f t="shared" ref="AB553:AB558" si="365">"3cfo"</f>
        <v>3cfo</v>
      </c>
      <c r="AD553" s="10" t="str">
        <f t="shared" ref="AD553:AD558" si="366">"cfo02"</f>
        <v>cfo02</v>
      </c>
      <c r="AE553" s="10" t="str">
        <f>"Finance &amp; Procurement / Revenues"</f>
        <v>Finance &amp; Procurement / Revenues</v>
      </c>
      <c r="AG553" s="10" t="str">
        <f>"21000/1136"</f>
        <v>21000/1136</v>
      </c>
      <c r="AI553" s="10" t="str">
        <f>"11emps"</f>
        <v>11emps</v>
      </c>
      <c r="AJ553" s="15" t="str">
        <f>"Temporary Revues Recovery Officer- Sundry Debtors_x000D_
w/c 5/12/16 to 31/1/17_x000D_
Osman Osmanov"</f>
        <v>Temporary Revues Recovery Officer- Sundry Debtors_x000D_
w/c 5/12/16 to 31/1/17_x000D_
Osman Osmanov</v>
      </c>
      <c r="AK553" s="10" t="str">
        <f t="shared" si="362"/>
        <v>Revenue</v>
      </c>
      <c r="AL553" s="10" t="str">
        <f>""</f>
        <v/>
      </c>
      <c r="AM553" s="10" t="str">
        <f>""</f>
        <v/>
      </c>
      <c r="AN553" s="10" t="str">
        <f>""</f>
        <v/>
      </c>
      <c r="AO553" s="10" t="str">
        <f>""</f>
        <v/>
      </c>
    </row>
    <row r="554" spans="1:55" s="10" customFormat="1" ht="409.6">
      <c r="A554" s="9"/>
      <c r="B554" s="9"/>
      <c r="C554" s="9"/>
      <c r="D554" s="10" t="str">
        <f>"31077"</f>
        <v>31077</v>
      </c>
      <c r="E554" s="11" t="str">
        <f>""</f>
        <v/>
      </c>
      <c r="F554" s="11" t="str">
        <f t="shared" si="345"/>
        <v>372418</v>
      </c>
      <c r="G554" s="11" t="str">
        <f t="shared" si="346"/>
        <v>2017toJAN</v>
      </c>
      <c r="H554" s="11" t="str">
        <f t="shared" si="347"/>
        <v>CRSP06B</v>
      </c>
      <c r="I554" s="11" t="str">
        <f t="shared" si="348"/>
        <v>34</v>
      </c>
      <c r="J554" s="11" t="str">
        <f t="shared" si="349"/>
        <v>Creditor</v>
      </c>
      <c r="K554" s="11" t="str">
        <f>"CS001843"</f>
        <v>CS001843</v>
      </c>
      <c r="L554" s="10" t="str">
        <f>"Robert Half Ltd"</f>
        <v>Robert Half Ltd</v>
      </c>
      <c r="M554" s="12" t="str">
        <f>"20/01/2017 00:00:00"</f>
        <v>20/01/2017 00:00:00</v>
      </c>
      <c r="N554" s="12">
        <v>42755</v>
      </c>
      <c r="O554" s="10" t="str">
        <f>"C007785"</f>
        <v>C007785</v>
      </c>
      <c r="P554" s="13">
        <v>675</v>
      </c>
      <c r="Q554" s="11" t="str">
        <f>"675.0000"</f>
        <v>675.0000</v>
      </c>
      <c r="R554" s="10" t="str">
        <f>"C0004508"</f>
        <v>C0004508</v>
      </c>
      <c r="S554" s="14" t="str">
        <f>"1293.8400"</f>
        <v>1293.8400</v>
      </c>
      <c r="T554" s="10">
        <v>21000</v>
      </c>
      <c r="U554" s="10">
        <v>1136</v>
      </c>
      <c r="V554" s="10" t="str">
        <f>"Direct employee exps and bens"</f>
        <v>Direct employee exps and bens</v>
      </c>
      <c r="W554" s="10" t="str">
        <f>"Employees"</f>
        <v>Employees</v>
      </c>
      <c r="X554" s="10" t="str">
        <f>VLOOKUP(U554,'[1]Account code lookup'!A:B,2,0)</f>
        <v>Agency Staff</v>
      </c>
      <c r="Z554" s="10" t="str">
        <f t="shared" si="363"/>
        <v>Finance and Procurement</v>
      </c>
      <c r="AA554" s="10" t="str">
        <f t="shared" si="364"/>
        <v>Chief Finance Officer</v>
      </c>
      <c r="AB554" s="10" t="str">
        <f t="shared" si="365"/>
        <v>3cfo</v>
      </c>
      <c r="AD554" s="10" t="str">
        <f t="shared" si="366"/>
        <v>cfo02</v>
      </c>
      <c r="AE554" s="10" t="str">
        <f>"Finance &amp; Procurement / Revenues"</f>
        <v>Finance &amp; Procurement / Revenues</v>
      </c>
      <c r="AG554" s="10" t="str">
        <f>"21000/1136"</f>
        <v>21000/1136</v>
      </c>
      <c r="AI554" s="10" t="str">
        <f>"11emps"</f>
        <v>11emps</v>
      </c>
      <c r="AJ554" s="15" t="str">
        <f>"Temporary Revues Recovery Officer- Sundry Debtors_x000D_
w/c 5/12/16 to 31/1/17_x000D_
Osman Osmanov"</f>
        <v>Temporary Revues Recovery Officer- Sundry Debtors_x000D_
w/c 5/12/16 to 31/1/17_x000D_
Osman Osmanov</v>
      </c>
      <c r="AK554" s="10" t="str">
        <f t="shared" si="362"/>
        <v>Revenue</v>
      </c>
      <c r="AL554" s="10" t="str">
        <f>""</f>
        <v/>
      </c>
      <c r="AM554" s="10" t="str">
        <f>""</f>
        <v/>
      </c>
      <c r="AN554" s="10" t="str">
        <f>""</f>
        <v/>
      </c>
      <c r="AO554" s="10" t="str">
        <f>""</f>
        <v/>
      </c>
    </row>
    <row r="555" spans="1:55" s="10" customFormat="1" ht="409.6">
      <c r="A555" s="9"/>
      <c r="B555" s="9"/>
      <c r="C555" s="9"/>
      <c r="D555" s="10" t="str">
        <f>"31078"</f>
        <v>31078</v>
      </c>
      <c r="E555" s="11" t="str">
        <f>""</f>
        <v/>
      </c>
      <c r="F555" s="11" t="str">
        <f t="shared" si="345"/>
        <v>372418</v>
      </c>
      <c r="G555" s="11" t="str">
        <f t="shared" si="346"/>
        <v>2017toJAN</v>
      </c>
      <c r="H555" s="11" t="str">
        <f t="shared" si="347"/>
        <v>CRSP06B</v>
      </c>
      <c r="I555" s="11" t="str">
        <f t="shared" si="348"/>
        <v>34</v>
      </c>
      <c r="J555" s="11" t="str">
        <f t="shared" si="349"/>
        <v>Creditor</v>
      </c>
      <c r="K555" s="11" t="str">
        <f>"CS001843"</f>
        <v>CS001843</v>
      </c>
      <c r="L555" s="10" t="str">
        <f>"Robert Half Ltd"</f>
        <v>Robert Half Ltd</v>
      </c>
      <c r="M555" s="12" t="str">
        <f>"27/01/2017 00:00:00"</f>
        <v>27/01/2017 00:00:00</v>
      </c>
      <c r="N555" s="12">
        <v>42762</v>
      </c>
      <c r="O555" s="10" t="str">
        <f>"C007816"</f>
        <v>C007816</v>
      </c>
      <c r="P555" s="13">
        <v>463.4</v>
      </c>
      <c r="Q555" s="11" t="str">
        <f>"463.4000"</f>
        <v>463.4000</v>
      </c>
      <c r="R555" s="10" t="str">
        <f>"C0004611"</f>
        <v>C0004611</v>
      </c>
      <c r="S555" s="14" t="str">
        <f>"556.0800"</f>
        <v>556.0800</v>
      </c>
      <c r="T555" s="10">
        <v>21000</v>
      </c>
      <c r="U555" s="10">
        <v>1136</v>
      </c>
      <c r="V555" s="10" t="str">
        <f>"Direct employee exps and bens"</f>
        <v>Direct employee exps and bens</v>
      </c>
      <c r="W555" s="10" t="str">
        <f>"Employees"</f>
        <v>Employees</v>
      </c>
      <c r="X555" s="10" t="str">
        <f>VLOOKUP(U555,'[1]Account code lookup'!A:B,2,0)</f>
        <v>Agency Staff</v>
      </c>
      <c r="Z555" s="10" t="str">
        <f t="shared" si="363"/>
        <v>Finance and Procurement</v>
      </c>
      <c r="AA555" s="10" t="str">
        <f t="shared" si="364"/>
        <v>Chief Finance Officer</v>
      </c>
      <c r="AB555" s="10" t="str">
        <f t="shared" si="365"/>
        <v>3cfo</v>
      </c>
      <c r="AD555" s="10" t="str">
        <f t="shared" si="366"/>
        <v>cfo02</v>
      </c>
      <c r="AE555" s="10" t="str">
        <f>"Finance &amp; Procurement / Revenues"</f>
        <v>Finance &amp; Procurement / Revenues</v>
      </c>
      <c r="AG555" s="10" t="str">
        <f>"21000/1136"</f>
        <v>21000/1136</v>
      </c>
      <c r="AI555" s="10" t="str">
        <f>"11emps"</f>
        <v>11emps</v>
      </c>
      <c r="AJ555" s="15" t="str">
        <f>"Temporary Revues Recovery Officer- Sundry Debtors_x000D_
w/c 5/12/16 to 31/1/17_x000D_
Osman Osmanov"</f>
        <v>Temporary Revues Recovery Officer- Sundry Debtors_x000D_
w/c 5/12/16 to 31/1/17_x000D_
Osman Osmanov</v>
      </c>
      <c r="AK555" s="10" t="str">
        <f t="shared" si="362"/>
        <v>Revenue</v>
      </c>
      <c r="AL555" s="10" t="str">
        <f>""</f>
        <v/>
      </c>
      <c r="AM555" s="10" t="str">
        <f>""</f>
        <v/>
      </c>
      <c r="AN555" s="10" t="str">
        <f>""</f>
        <v/>
      </c>
      <c r="AO555" s="10" t="str">
        <f>""</f>
        <v/>
      </c>
    </row>
    <row r="556" spans="1:55" s="10" customFormat="1" ht="409.6">
      <c r="A556" s="9"/>
      <c r="B556" s="9"/>
      <c r="C556" s="9"/>
      <c r="D556" s="10" t="str">
        <f>"33373"</f>
        <v>33373</v>
      </c>
      <c r="E556" s="11" t="str">
        <f>""</f>
        <v/>
      </c>
      <c r="F556" s="11" t="str">
        <f t="shared" si="345"/>
        <v>372418</v>
      </c>
      <c r="G556" s="11" t="str">
        <f t="shared" si="346"/>
        <v>2017toJAN</v>
      </c>
      <c r="H556" s="11" t="str">
        <f t="shared" si="347"/>
        <v>CRSP06B</v>
      </c>
      <c r="I556" s="11" t="str">
        <f t="shared" si="348"/>
        <v>34</v>
      </c>
      <c r="J556" s="11" t="str">
        <f t="shared" si="349"/>
        <v>Creditor</v>
      </c>
      <c r="K556" s="11" t="str">
        <f t="shared" ref="K556:K567" si="367">"CS001855"</f>
        <v>CS001855</v>
      </c>
      <c r="L556" s="10" t="str">
        <f t="shared" ref="L556:L567" si="368">"Royal Mail"</f>
        <v>Royal Mail</v>
      </c>
      <c r="M556" s="12" t="str">
        <f t="shared" ref="M556:M567" si="369">"23/01/2017 00:00:00"</f>
        <v>23/01/2017 00:00:00</v>
      </c>
      <c r="N556" s="12">
        <v>42758</v>
      </c>
      <c r="O556" s="10" t="str">
        <f t="shared" ref="O556:O567" si="370">"C007660"</f>
        <v>C007660</v>
      </c>
      <c r="P556" s="13">
        <v>0.95</v>
      </c>
      <c r="Q556" s="11" t="str">
        <f>"0.9500"</f>
        <v>0.9500</v>
      </c>
      <c r="R556" s="10" t="str">
        <f t="shared" ref="R556:R567" si="371">"C0004536"</f>
        <v>C0004536</v>
      </c>
      <c r="S556" s="14" t="str">
        <f t="shared" ref="S556:S567" si="372">"2269.6800"</f>
        <v>2269.6800</v>
      </c>
      <c r="T556" s="10">
        <v>21000</v>
      </c>
      <c r="U556" s="10">
        <v>1510</v>
      </c>
      <c r="V556" s="10" t="str">
        <f t="shared" ref="V556:V567" si="373">"Communications and computing"</f>
        <v>Communications and computing</v>
      </c>
      <c r="W556" s="10" t="str">
        <f t="shared" ref="W556:W567" si="374">"Supplies and Services"</f>
        <v>Supplies and Services</v>
      </c>
      <c r="X556" s="10" t="str">
        <f>VLOOKUP(U556,'[1]Account code lookup'!A:B,2,0)</f>
        <v>Postages Expenses</v>
      </c>
      <c r="Z556" s="10" t="str">
        <f t="shared" si="363"/>
        <v>Finance and Procurement</v>
      </c>
      <c r="AA556" s="10" t="str">
        <f t="shared" si="364"/>
        <v>Chief Finance Officer</v>
      </c>
      <c r="AB556" s="10" t="str">
        <f t="shared" si="365"/>
        <v>3cfo</v>
      </c>
      <c r="AD556" s="10" t="str">
        <f t="shared" si="366"/>
        <v>cfo02</v>
      </c>
      <c r="AE556" s="10" t="str">
        <f t="shared" ref="AE556:AE567" si="375">"Community Services / Customer Services"</f>
        <v>Community Services / Customer Services</v>
      </c>
      <c r="AG556" s="10" t="str">
        <f>"21000/1510"</f>
        <v>21000/1510</v>
      </c>
      <c r="AI556" s="10" t="str">
        <f t="shared" ref="AI556:AI567" si="376">"14suse"</f>
        <v>14suse</v>
      </c>
      <c r="AJ556" s="15" t="str">
        <f t="shared" ref="AJ556:AJ567" si="377">"Postage December 2016"</f>
        <v>Postage December 2016</v>
      </c>
      <c r="AK556" s="10" t="str">
        <f t="shared" si="362"/>
        <v>Revenue</v>
      </c>
      <c r="AL556" s="10" t="str">
        <f>""</f>
        <v/>
      </c>
      <c r="AM556" s="10" t="str">
        <f>""</f>
        <v/>
      </c>
      <c r="AN556" s="10" t="str">
        <f>""</f>
        <v/>
      </c>
      <c r="AO556" s="10" t="str">
        <f>""</f>
        <v/>
      </c>
    </row>
    <row r="557" spans="1:55" s="10" customFormat="1" ht="409.6">
      <c r="A557" s="9"/>
      <c r="B557" s="9"/>
      <c r="C557" s="9"/>
      <c r="D557" s="10" t="str">
        <f>"33374"</f>
        <v>33374</v>
      </c>
      <c r="E557" s="11" t="str">
        <f>""</f>
        <v/>
      </c>
      <c r="F557" s="11" t="str">
        <f t="shared" si="345"/>
        <v>372418</v>
      </c>
      <c r="G557" s="11" t="str">
        <f t="shared" si="346"/>
        <v>2017toJAN</v>
      </c>
      <c r="H557" s="11" t="str">
        <f t="shared" si="347"/>
        <v>CRSP06B</v>
      </c>
      <c r="I557" s="11" t="str">
        <f t="shared" si="348"/>
        <v>34</v>
      </c>
      <c r="J557" s="11" t="str">
        <f t="shared" si="349"/>
        <v>Creditor</v>
      </c>
      <c r="K557" s="11" t="str">
        <f t="shared" si="367"/>
        <v>CS001855</v>
      </c>
      <c r="L557" s="10" t="str">
        <f t="shared" si="368"/>
        <v>Royal Mail</v>
      </c>
      <c r="M557" s="12" t="str">
        <f t="shared" si="369"/>
        <v>23/01/2017 00:00:00</v>
      </c>
      <c r="N557" s="12">
        <v>42758</v>
      </c>
      <c r="O557" s="10" t="str">
        <f t="shared" si="370"/>
        <v>C007660</v>
      </c>
      <c r="P557" s="13">
        <v>1.9</v>
      </c>
      <c r="Q557" s="11" t="str">
        <f>"1.9000"</f>
        <v>1.9000</v>
      </c>
      <c r="R557" s="10" t="str">
        <f t="shared" si="371"/>
        <v>C0004536</v>
      </c>
      <c r="S557" s="14" t="str">
        <f t="shared" si="372"/>
        <v>2269.6800</v>
      </c>
      <c r="T557" s="10">
        <v>21000</v>
      </c>
      <c r="U557" s="10">
        <v>1510</v>
      </c>
      <c r="V557" s="10" t="str">
        <f t="shared" si="373"/>
        <v>Communications and computing</v>
      </c>
      <c r="W557" s="10" t="str">
        <f t="shared" si="374"/>
        <v>Supplies and Services</v>
      </c>
      <c r="X557" s="10" t="str">
        <f>VLOOKUP(U557,'[1]Account code lookup'!A:B,2,0)</f>
        <v>Postages Expenses</v>
      </c>
      <c r="Z557" s="10" t="str">
        <f t="shared" si="363"/>
        <v>Finance and Procurement</v>
      </c>
      <c r="AA557" s="10" t="str">
        <f t="shared" si="364"/>
        <v>Chief Finance Officer</v>
      </c>
      <c r="AB557" s="10" t="str">
        <f t="shared" si="365"/>
        <v>3cfo</v>
      </c>
      <c r="AD557" s="10" t="str">
        <f t="shared" si="366"/>
        <v>cfo02</v>
      </c>
      <c r="AE557" s="10" t="str">
        <f t="shared" si="375"/>
        <v>Community Services / Customer Services</v>
      </c>
      <c r="AG557" s="10" t="str">
        <f>"21000/1510"</f>
        <v>21000/1510</v>
      </c>
      <c r="AI557" s="10" t="str">
        <f t="shared" si="376"/>
        <v>14suse</v>
      </c>
      <c r="AJ557" s="15" t="str">
        <f t="shared" si="377"/>
        <v>Postage December 2016</v>
      </c>
      <c r="AK557" s="10" t="str">
        <f t="shared" si="362"/>
        <v>Revenue</v>
      </c>
      <c r="AL557" s="10" t="str">
        <f>""</f>
        <v/>
      </c>
      <c r="AM557" s="10" t="str">
        <f>""</f>
        <v/>
      </c>
      <c r="AN557" s="10" t="str">
        <f>""</f>
        <v/>
      </c>
      <c r="AO557" s="10" t="str">
        <f>""</f>
        <v/>
      </c>
    </row>
    <row r="558" spans="1:55" s="10" customFormat="1" ht="409.6">
      <c r="A558" s="9"/>
      <c r="B558" s="9"/>
      <c r="C558" s="9"/>
      <c r="D558" s="10" t="str">
        <f>"33375"</f>
        <v>33375</v>
      </c>
      <c r="E558" s="11" t="str">
        <f>""</f>
        <v/>
      </c>
      <c r="F558" s="11" t="str">
        <f t="shared" si="345"/>
        <v>372418</v>
      </c>
      <c r="G558" s="11" t="str">
        <f t="shared" si="346"/>
        <v>2017toJAN</v>
      </c>
      <c r="H558" s="11" t="str">
        <f t="shared" si="347"/>
        <v>CRSP06B</v>
      </c>
      <c r="I558" s="11" t="str">
        <f t="shared" si="348"/>
        <v>34</v>
      </c>
      <c r="J558" s="11" t="str">
        <f t="shared" si="349"/>
        <v>Creditor</v>
      </c>
      <c r="K558" s="11" t="str">
        <f t="shared" si="367"/>
        <v>CS001855</v>
      </c>
      <c r="L558" s="10" t="str">
        <f t="shared" si="368"/>
        <v>Royal Mail</v>
      </c>
      <c r="M558" s="12" t="str">
        <f t="shared" si="369"/>
        <v>23/01/2017 00:00:00</v>
      </c>
      <c r="N558" s="12">
        <v>42758</v>
      </c>
      <c r="O558" s="10" t="str">
        <f t="shared" si="370"/>
        <v>C007660</v>
      </c>
      <c r="P558" s="13">
        <v>482.83</v>
      </c>
      <c r="Q558" s="11" t="str">
        <f>"482.8300"</f>
        <v>482.8300</v>
      </c>
      <c r="R558" s="10" t="str">
        <f t="shared" si="371"/>
        <v>C0004536</v>
      </c>
      <c r="S558" s="14" t="str">
        <f t="shared" si="372"/>
        <v>2269.6800</v>
      </c>
      <c r="T558" s="10">
        <v>21000</v>
      </c>
      <c r="U558" s="10">
        <v>1510</v>
      </c>
      <c r="V558" s="10" t="str">
        <f t="shared" si="373"/>
        <v>Communications and computing</v>
      </c>
      <c r="W558" s="10" t="str">
        <f t="shared" si="374"/>
        <v>Supplies and Services</v>
      </c>
      <c r="X558" s="10" t="str">
        <f>VLOOKUP(U558,'[1]Account code lookup'!A:B,2,0)</f>
        <v>Postages Expenses</v>
      </c>
      <c r="Z558" s="10" t="str">
        <f t="shared" si="363"/>
        <v>Finance and Procurement</v>
      </c>
      <c r="AA558" s="10" t="str">
        <f t="shared" si="364"/>
        <v>Chief Finance Officer</v>
      </c>
      <c r="AB558" s="10" t="str">
        <f t="shared" si="365"/>
        <v>3cfo</v>
      </c>
      <c r="AD558" s="10" t="str">
        <f t="shared" si="366"/>
        <v>cfo02</v>
      </c>
      <c r="AE558" s="10" t="str">
        <f t="shared" si="375"/>
        <v>Community Services / Customer Services</v>
      </c>
      <c r="AG558" s="10" t="str">
        <f>"21000/1510"</f>
        <v>21000/1510</v>
      </c>
      <c r="AI558" s="10" t="str">
        <f t="shared" si="376"/>
        <v>14suse</v>
      </c>
      <c r="AJ558" s="15" t="str">
        <f t="shared" si="377"/>
        <v>Postage December 2016</v>
      </c>
      <c r="AK558" s="10" t="str">
        <f t="shared" si="362"/>
        <v>Revenue</v>
      </c>
      <c r="AL558" s="10" t="str">
        <f>""</f>
        <v/>
      </c>
      <c r="AM558" s="10" t="str">
        <f>""</f>
        <v/>
      </c>
      <c r="AN558" s="10" t="str">
        <f>""</f>
        <v/>
      </c>
      <c r="AO558" s="10" t="str">
        <f>""</f>
        <v/>
      </c>
    </row>
    <row r="559" spans="1:55" s="10" customFormat="1" ht="409.6">
      <c r="A559" s="9"/>
      <c r="B559" s="9"/>
      <c r="C559" s="9"/>
      <c r="D559" s="10" t="str">
        <f>"33902"</f>
        <v>33902</v>
      </c>
      <c r="E559" s="11" t="str">
        <f>""</f>
        <v/>
      </c>
      <c r="F559" s="11" t="str">
        <f t="shared" si="345"/>
        <v>372418</v>
      </c>
      <c r="G559" s="11" t="str">
        <f t="shared" si="346"/>
        <v>2017toJAN</v>
      </c>
      <c r="H559" s="11" t="str">
        <f t="shared" si="347"/>
        <v>CRSP06B</v>
      </c>
      <c r="I559" s="11" t="str">
        <f t="shared" si="348"/>
        <v>34</v>
      </c>
      <c r="J559" s="11" t="str">
        <f t="shared" si="349"/>
        <v>Creditor</v>
      </c>
      <c r="K559" s="11" t="str">
        <f t="shared" si="367"/>
        <v>CS001855</v>
      </c>
      <c r="L559" s="10" t="str">
        <f t="shared" si="368"/>
        <v>Royal Mail</v>
      </c>
      <c r="M559" s="12" t="str">
        <f t="shared" si="369"/>
        <v>23/01/2017 00:00:00</v>
      </c>
      <c r="N559" s="12">
        <v>42758</v>
      </c>
      <c r="O559" s="10" t="str">
        <f t="shared" si="370"/>
        <v>C007660</v>
      </c>
      <c r="P559" s="13">
        <v>91.39</v>
      </c>
      <c r="Q559" s="11" t="str">
        <f>"91.3900"</f>
        <v>91.3900</v>
      </c>
      <c r="R559" s="10" t="str">
        <f t="shared" si="371"/>
        <v>C0004536</v>
      </c>
      <c r="S559" s="14" t="str">
        <f t="shared" si="372"/>
        <v>2269.6800</v>
      </c>
      <c r="T559" s="10">
        <v>21100</v>
      </c>
      <c r="U559" s="10">
        <v>1510</v>
      </c>
      <c r="V559" s="10" t="str">
        <f t="shared" si="373"/>
        <v>Communications and computing</v>
      </c>
      <c r="W559" s="10" t="str">
        <f t="shared" si="374"/>
        <v>Supplies and Services</v>
      </c>
      <c r="X559" s="10" t="str">
        <f>VLOOKUP(U559,'[1]Account code lookup'!A:B,2,0)</f>
        <v>Postages Expenses</v>
      </c>
      <c r="Z559" s="10" t="str">
        <f>"Law and Governance"</f>
        <v>Law and Governance</v>
      </c>
      <c r="AA559" s="10" t="str">
        <f>"Strategy and Commissioning"</f>
        <v>Strategy and Commissioning</v>
      </c>
      <c r="AB559" s="10" t="str">
        <f>"4sac"</f>
        <v>4sac</v>
      </c>
      <c r="AD559" s="10" t="str">
        <f>"sac07"</f>
        <v>sac07</v>
      </c>
      <c r="AE559" s="10" t="str">
        <f t="shared" si="375"/>
        <v>Community Services / Customer Services</v>
      </c>
      <c r="AG559" s="10" t="str">
        <f>"21100/1510"</f>
        <v>21100/1510</v>
      </c>
      <c r="AI559" s="10" t="str">
        <f t="shared" si="376"/>
        <v>14suse</v>
      </c>
      <c r="AJ559" s="15" t="str">
        <f t="shared" si="377"/>
        <v>Postage December 2016</v>
      </c>
      <c r="AK559" s="10" t="str">
        <f t="shared" si="362"/>
        <v>Revenue</v>
      </c>
      <c r="AL559" s="10" t="str">
        <f>""</f>
        <v/>
      </c>
      <c r="AM559" s="10" t="str">
        <f>""</f>
        <v/>
      </c>
      <c r="AN559" s="10" t="str">
        <f>""</f>
        <v/>
      </c>
      <c r="AO559" s="10" t="str">
        <f>""</f>
        <v/>
      </c>
    </row>
    <row r="560" spans="1:55" s="10" customFormat="1" ht="409.6">
      <c r="A560" s="9"/>
      <c r="B560" s="16"/>
      <c r="C560" s="16"/>
      <c r="D560" s="17" t="str">
        <f>"27610"</f>
        <v>27610</v>
      </c>
      <c r="E560" s="11" t="str">
        <f>""</f>
        <v/>
      </c>
      <c r="F560" s="11" t="str">
        <f t="shared" si="345"/>
        <v>372418</v>
      </c>
      <c r="G560" s="11" t="str">
        <f t="shared" si="346"/>
        <v>2017toJAN</v>
      </c>
      <c r="H560" s="11" t="str">
        <f t="shared" si="347"/>
        <v>CRSP06B</v>
      </c>
      <c r="I560" s="11" t="str">
        <f t="shared" si="348"/>
        <v>34</v>
      </c>
      <c r="J560" s="11" t="str">
        <f t="shared" si="349"/>
        <v>Creditor</v>
      </c>
      <c r="K560" s="11" t="str">
        <f t="shared" si="367"/>
        <v>CS001855</v>
      </c>
      <c r="L560" s="10" t="str">
        <f t="shared" si="368"/>
        <v>Royal Mail</v>
      </c>
      <c r="M560" s="12" t="str">
        <f t="shared" si="369"/>
        <v>23/01/2017 00:00:00</v>
      </c>
      <c r="N560" s="12">
        <v>42758</v>
      </c>
      <c r="O560" s="10" t="str">
        <f t="shared" si="370"/>
        <v>C007660</v>
      </c>
      <c r="P560" s="13">
        <v>4.8099999999999996</v>
      </c>
      <c r="Q560" s="11" t="str">
        <f>"4.8100"</f>
        <v>4.8100</v>
      </c>
      <c r="R560" s="10" t="str">
        <f t="shared" si="371"/>
        <v>C0004536</v>
      </c>
      <c r="S560" s="14" t="str">
        <f t="shared" si="372"/>
        <v>2269.6800</v>
      </c>
      <c r="T560" s="10">
        <v>21747</v>
      </c>
      <c r="U560" s="10">
        <v>1510</v>
      </c>
      <c r="V560" s="10" t="str">
        <f t="shared" si="373"/>
        <v>Communications and computing</v>
      </c>
      <c r="W560" s="10" t="str">
        <f t="shared" si="374"/>
        <v>Supplies and Services</v>
      </c>
      <c r="X560" s="10" t="str">
        <f>VLOOKUP(U560,'[1]Account code lookup'!A:B,2,0)</f>
        <v>Postages Expenses</v>
      </c>
      <c r="Z560" s="10" t="str">
        <f>"Finance and Procurement"</f>
        <v>Finance and Procurement</v>
      </c>
      <c r="AA560" s="10" t="str">
        <f>"Chief Finance Officer"</f>
        <v>Chief Finance Officer</v>
      </c>
      <c r="AB560" s="10" t="str">
        <f>"3cfo"</f>
        <v>3cfo</v>
      </c>
      <c r="AD560" s="10" t="str">
        <f>"cfo02"</f>
        <v>cfo02</v>
      </c>
      <c r="AE560" s="10" t="str">
        <f t="shared" si="375"/>
        <v>Community Services / Customer Services</v>
      </c>
      <c r="AG560" s="10" t="str">
        <f>"21747/1510"</f>
        <v>21747/1510</v>
      </c>
      <c r="AI560" s="10" t="str">
        <f t="shared" si="376"/>
        <v>14suse</v>
      </c>
      <c r="AJ560" s="15" t="str">
        <f t="shared" si="377"/>
        <v>Postage December 2016</v>
      </c>
      <c r="AK560" s="10" t="str">
        <f t="shared" si="362"/>
        <v>Revenue</v>
      </c>
      <c r="AL560" s="10" t="str">
        <f>""</f>
        <v/>
      </c>
      <c r="AM560" s="10" t="str">
        <f>""</f>
        <v/>
      </c>
      <c r="AN560" s="10" t="str">
        <f>""</f>
        <v/>
      </c>
      <c r="AO560" s="10" t="str">
        <f>""</f>
        <v/>
      </c>
      <c r="BC560" s="12"/>
    </row>
    <row r="561" spans="1:41" s="10" customFormat="1" ht="409.6">
      <c r="A561" s="9"/>
      <c r="B561" s="9"/>
      <c r="C561" s="9"/>
      <c r="D561" s="10" t="str">
        <f>"27818"</f>
        <v>27818</v>
      </c>
      <c r="E561" s="11" t="str">
        <f>""</f>
        <v/>
      </c>
      <c r="F561" s="11" t="str">
        <f t="shared" si="345"/>
        <v>372418</v>
      </c>
      <c r="G561" s="11" t="str">
        <f t="shared" si="346"/>
        <v>2017toJAN</v>
      </c>
      <c r="H561" s="11" t="str">
        <f t="shared" si="347"/>
        <v>CRSP06B</v>
      </c>
      <c r="I561" s="11" t="str">
        <f t="shared" si="348"/>
        <v>34</v>
      </c>
      <c r="J561" s="11" t="str">
        <f t="shared" si="349"/>
        <v>Creditor</v>
      </c>
      <c r="K561" s="11" t="str">
        <f t="shared" si="367"/>
        <v>CS001855</v>
      </c>
      <c r="L561" s="10" t="str">
        <f t="shared" si="368"/>
        <v>Royal Mail</v>
      </c>
      <c r="M561" s="12" t="str">
        <f t="shared" si="369"/>
        <v>23/01/2017 00:00:00</v>
      </c>
      <c r="N561" s="12">
        <v>42758</v>
      </c>
      <c r="O561" s="10" t="str">
        <f t="shared" si="370"/>
        <v>C007660</v>
      </c>
      <c r="P561" s="13">
        <v>275.64999999999998</v>
      </c>
      <c r="Q561" s="11" t="str">
        <f>"275.6500"</f>
        <v>275.6500</v>
      </c>
      <c r="R561" s="10" t="str">
        <f t="shared" si="371"/>
        <v>C0004536</v>
      </c>
      <c r="S561" s="14" t="str">
        <f t="shared" si="372"/>
        <v>2269.6800</v>
      </c>
      <c r="T561" s="10">
        <v>25509</v>
      </c>
      <c r="U561" s="10">
        <v>1510</v>
      </c>
      <c r="V561" s="10" t="str">
        <f t="shared" si="373"/>
        <v>Communications and computing</v>
      </c>
      <c r="W561" s="10" t="str">
        <f t="shared" si="374"/>
        <v>Supplies and Services</v>
      </c>
      <c r="X561" s="10" t="str">
        <f>VLOOKUP(U561,'[1]Account code lookup'!A:B,2,0)</f>
        <v>Postages Expenses</v>
      </c>
      <c r="Z561" s="10" t="str">
        <f>"Community Services"</f>
        <v>Community Services</v>
      </c>
      <c r="AA561" s="10" t="str">
        <f>"Operations and Delivery"</f>
        <v>Operations and Delivery</v>
      </c>
      <c r="AB561" s="10" t="str">
        <f>"5oad"</f>
        <v>5oad</v>
      </c>
      <c r="AD561" s="10" t="str">
        <f>"oad01"</f>
        <v>oad01</v>
      </c>
      <c r="AE561" s="10" t="str">
        <f t="shared" si="375"/>
        <v>Community Services / Customer Services</v>
      </c>
      <c r="AG561" s="10" t="str">
        <f>"25509/1510"</f>
        <v>25509/1510</v>
      </c>
      <c r="AI561" s="10" t="str">
        <f t="shared" si="376"/>
        <v>14suse</v>
      </c>
      <c r="AJ561" s="15" t="str">
        <f t="shared" si="377"/>
        <v>Postage December 2016</v>
      </c>
      <c r="AK561" s="10" t="str">
        <f t="shared" si="362"/>
        <v>Revenue</v>
      </c>
      <c r="AL561" s="10" t="str">
        <f>""</f>
        <v/>
      </c>
      <c r="AM561" s="10" t="str">
        <f>""</f>
        <v/>
      </c>
      <c r="AN561" s="10" t="str">
        <f>""</f>
        <v/>
      </c>
      <c r="AO561" s="10" t="str">
        <f>""</f>
        <v/>
      </c>
    </row>
    <row r="562" spans="1:41" s="10" customFormat="1" ht="409.6">
      <c r="A562" s="9"/>
      <c r="B562" s="9"/>
      <c r="C562" s="9"/>
      <c r="D562" s="10" t="str">
        <f>"27819"</f>
        <v>27819</v>
      </c>
      <c r="E562" s="11" t="str">
        <f>""</f>
        <v/>
      </c>
      <c r="F562" s="11" t="str">
        <f t="shared" si="345"/>
        <v>372418</v>
      </c>
      <c r="G562" s="11" t="str">
        <f t="shared" si="346"/>
        <v>2017toJAN</v>
      </c>
      <c r="H562" s="11" t="str">
        <f t="shared" si="347"/>
        <v>CRSP06B</v>
      </c>
      <c r="I562" s="11" t="str">
        <f t="shared" si="348"/>
        <v>34</v>
      </c>
      <c r="J562" s="11" t="str">
        <f t="shared" si="349"/>
        <v>Creditor</v>
      </c>
      <c r="K562" s="11" t="str">
        <f t="shared" si="367"/>
        <v>CS001855</v>
      </c>
      <c r="L562" s="10" t="str">
        <f t="shared" si="368"/>
        <v>Royal Mail</v>
      </c>
      <c r="M562" s="12" t="str">
        <f t="shared" si="369"/>
        <v>23/01/2017 00:00:00</v>
      </c>
      <c r="N562" s="12">
        <v>42758</v>
      </c>
      <c r="O562" s="10" t="str">
        <f t="shared" si="370"/>
        <v>C007660</v>
      </c>
      <c r="P562" s="13">
        <v>100.27</v>
      </c>
      <c r="Q562" s="11" t="str">
        <f>"100.2700"</f>
        <v>100.2700</v>
      </c>
      <c r="R562" s="10" t="str">
        <f t="shared" si="371"/>
        <v>C0004536</v>
      </c>
      <c r="S562" s="14" t="str">
        <f t="shared" si="372"/>
        <v>2269.6800</v>
      </c>
      <c r="T562" s="10">
        <v>25800</v>
      </c>
      <c r="U562" s="10">
        <v>1510</v>
      </c>
      <c r="V562" s="10" t="str">
        <f t="shared" si="373"/>
        <v>Communications and computing</v>
      </c>
      <c r="W562" s="10" t="str">
        <f t="shared" si="374"/>
        <v>Supplies and Services</v>
      </c>
      <c r="X562" s="10" t="str">
        <f>VLOOKUP(U562,'[1]Account code lookup'!A:B,2,0)</f>
        <v>Postages Expenses</v>
      </c>
      <c r="Z562" s="10" t="str">
        <f>"Environmental Services"</f>
        <v>Environmental Services</v>
      </c>
      <c r="AA562" s="10" t="str">
        <f>"Operations and Delivery"</f>
        <v>Operations and Delivery</v>
      </c>
      <c r="AB562" s="10" t="str">
        <f>"5oad"</f>
        <v>5oad</v>
      </c>
      <c r="AD562" s="10" t="str">
        <f>"oad02"</f>
        <v>oad02</v>
      </c>
      <c r="AE562" s="10" t="str">
        <f t="shared" si="375"/>
        <v>Community Services / Customer Services</v>
      </c>
      <c r="AG562" s="10" t="str">
        <f>"25800/1510"</f>
        <v>25800/1510</v>
      </c>
      <c r="AI562" s="10" t="str">
        <f t="shared" si="376"/>
        <v>14suse</v>
      </c>
      <c r="AJ562" s="15" t="str">
        <f t="shared" si="377"/>
        <v>Postage December 2016</v>
      </c>
      <c r="AK562" s="10" t="str">
        <f t="shared" si="362"/>
        <v>Revenue</v>
      </c>
      <c r="AL562" s="10" t="str">
        <f>""</f>
        <v/>
      </c>
      <c r="AM562" s="10" t="str">
        <f>""</f>
        <v/>
      </c>
      <c r="AN562" s="10" t="str">
        <f>""</f>
        <v/>
      </c>
      <c r="AO562" s="10" t="str">
        <f>""</f>
        <v/>
      </c>
    </row>
    <row r="563" spans="1:41" s="10" customFormat="1" ht="409.6">
      <c r="A563" s="9"/>
      <c r="B563" s="9"/>
      <c r="C563" s="9"/>
      <c r="D563" s="10" t="str">
        <f>"27820"</f>
        <v>27820</v>
      </c>
      <c r="E563" s="11" t="str">
        <f>""</f>
        <v/>
      </c>
      <c r="F563" s="11" t="str">
        <f t="shared" si="345"/>
        <v>372418</v>
      </c>
      <c r="G563" s="11" t="str">
        <f t="shared" si="346"/>
        <v>2017toJAN</v>
      </c>
      <c r="H563" s="11" t="str">
        <f t="shared" si="347"/>
        <v>CRSP06B</v>
      </c>
      <c r="I563" s="11" t="str">
        <f t="shared" si="348"/>
        <v>34</v>
      </c>
      <c r="J563" s="11" t="str">
        <f t="shared" si="349"/>
        <v>Creditor</v>
      </c>
      <c r="K563" s="11" t="str">
        <f t="shared" si="367"/>
        <v>CS001855</v>
      </c>
      <c r="L563" s="10" t="str">
        <f t="shared" si="368"/>
        <v>Royal Mail</v>
      </c>
      <c r="M563" s="12" t="str">
        <f t="shared" si="369"/>
        <v>23/01/2017 00:00:00</v>
      </c>
      <c r="N563" s="12">
        <v>42758</v>
      </c>
      <c r="O563" s="10" t="str">
        <f t="shared" si="370"/>
        <v>C007660</v>
      </c>
      <c r="P563" s="13">
        <v>1.1100000000000001</v>
      </c>
      <c r="Q563" s="11" t="str">
        <f>"1.1100"</f>
        <v>1.1100</v>
      </c>
      <c r="R563" s="10" t="str">
        <f t="shared" si="371"/>
        <v>C0004536</v>
      </c>
      <c r="S563" s="14" t="str">
        <f t="shared" si="372"/>
        <v>2269.6800</v>
      </c>
      <c r="T563" s="10">
        <v>28403</v>
      </c>
      <c r="U563" s="10">
        <v>1510</v>
      </c>
      <c r="V563" s="10" t="str">
        <f t="shared" si="373"/>
        <v>Communications and computing</v>
      </c>
      <c r="W563" s="10" t="str">
        <f t="shared" si="374"/>
        <v>Supplies and Services</v>
      </c>
      <c r="X563" s="10" t="str">
        <f>VLOOKUP(U563,'[1]Account code lookup'!A:B,2,0)</f>
        <v>Postages Expenses</v>
      </c>
      <c r="Z563" s="10" t="str">
        <f>"Finance and Procurement"</f>
        <v>Finance and Procurement</v>
      </c>
      <c r="AA563" s="10" t="str">
        <f>"Chief Finance Officer"</f>
        <v>Chief Finance Officer</v>
      </c>
      <c r="AB563" s="10" t="str">
        <f>"3cfo"</f>
        <v>3cfo</v>
      </c>
      <c r="AD563" s="10" t="str">
        <f>"cfo02"</f>
        <v>cfo02</v>
      </c>
      <c r="AE563" s="10" t="str">
        <f t="shared" si="375"/>
        <v>Community Services / Customer Services</v>
      </c>
      <c r="AG563" s="10" t="str">
        <f>"28403/1510"</f>
        <v>28403/1510</v>
      </c>
      <c r="AI563" s="10" t="str">
        <f t="shared" si="376"/>
        <v>14suse</v>
      </c>
      <c r="AJ563" s="15" t="str">
        <f t="shared" si="377"/>
        <v>Postage December 2016</v>
      </c>
      <c r="AK563" s="10" t="str">
        <f t="shared" si="362"/>
        <v>Revenue</v>
      </c>
      <c r="AL563" s="10" t="str">
        <f>""</f>
        <v/>
      </c>
      <c r="AM563" s="10" t="str">
        <f>""</f>
        <v/>
      </c>
      <c r="AN563" s="10" t="str">
        <f>""</f>
        <v/>
      </c>
      <c r="AO563" s="10" t="str">
        <f>""</f>
        <v/>
      </c>
    </row>
    <row r="564" spans="1:41" s="10" customFormat="1" ht="409.6">
      <c r="A564" s="9"/>
      <c r="B564" s="9"/>
      <c r="C564" s="9"/>
      <c r="D564" s="10" t="str">
        <f>"28058"</f>
        <v>28058</v>
      </c>
      <c r="E564" s="11" t="str">
        <f>""</f>
        <v/>
      </c>
      <c r="F564" s="11" t="str">
        <f t="shared" si="345"/>
        <v>372418</v>
      </c>
      <c r="G564" s="11" t="str">
        <f t="shared" si="346"/>
        <v>2017toJAN</v>
      </c>
      <c r="H564" s="11" t="str">
        <f t="shared" si="347"/>
        <v>CRSP06B</v>
      </c>
      <c r="I564" s="11" t="str">
        <f t="shared" si="348"/>
        <v>34</v>
      </c>
      <c r="J564" s="11" t="str">
        <f t="shared" si="349"/>
        <v>Creditor</v>
      </c>
      <c r="K564" s="11" t="str">
        <f t="shared" si="367"/>
        <v>CS001855</v>
      </c>
      <c r="L564" s="10" t="str">
        <f t="shared" si="368"/>
        <v>Royal Mail</v>
      </c>
      <c r="M564" s="12" t="str">
        <f t="shared" si="369"/>
        <v>23/01/2017 00:00:00</v>
      </c>
      <c r="N564" s="12">
        <v>42758</v>
      </c>
      <c r="O564" s="10" t="str">
        <f t="shared" si="370"/>
        <v>C007660</v>
      </c>
      <c r="P564" s="13">
        <v>98.42</v>
      </c>
      <c r="Q564" s="11" t="str">
        <f>"98.4200"</f>
        <v>98.4200</v>
      </c>
      <c r="R564" s="10" t="str">
        <f t="shared" si="371"/>
        <v>C0004536</v>
      </c>
      <c r="S564" s="14" t="str">
        <f t="shared" si="372"/>
        <v>2269.6800</v>
      </c>
      <c r="T564" s="10">
        <v>28650</v>
      </c>
      <c r="U564" s="10">
        <v>1510</v>
      </c>
      <c r="V564" s="10" t="str">
        <f t="shared" si="373"/>
        <v>Communications and computing</v>
      </c>
      <c r="W564" s="10" t="str">
        <f t="shared" si="374"/>
        <v>Supplies and Services</v>
      </c>
      <c r="X564" s="10" t="str">
        <f>VLOOKUP(U564,'[1]Account code lookup'!A:B,2,0)</f>
        <v>Postages Expenses</v>
      </c>
      <c r="Z564" s="10" t="str">
        <f>"Regeneration and Housing"</f>
        <v>Regeneration and Housing</v>
      </c>
      <c r="AA564" s="10" t="str">
        <f>"Commercial Development"</f>
        <v>Commercial Development</v>
      </c>
      <c r="AB564" s="10" t="str">
        <f>"2cdb"</f>
        <v>2cdb</v>
      </c>
      <c r="AD564" s="10" t="str">
        <f>"cdb02"</f>
        <v>cdb02</v>
      </c>
      <c r="AE564" s="10" t="str">
        <f t="shared" si="375"/>
        <v>Community Services / Customer Services</v>
      </c>
      <c r="AG564" s="10" t="str">
        <f>"28650/1510"</f>
        <v>28650/1510</v>
      </c>
      <c r="AI564" s="10" t="str">
        <f t="shared" si="376"/>
        <v>14suse</v>
      </c>
      <c r="AJ564" s="15" t="str">
        <f t="shared" si="377"/>
        <v>Postage December 2016</v>
      </c>
      <c r="AK564" s="10" t="str">
        <f t="shared" si="362"/>
        <v>Revenue</v>
      </c>
      <c r="AL564" s="10" t="str">
        <f>""</f>
        <v/>
      </c>
      <c r="AM564" s="10" t="str">
        <f>""</f>
        <v/>
      </c>
      <c r="AN564" s="10" t="str">
        <f>""</f>
        <v/>
      </c>
      <c r="AO564" s="10" t="str">
        <f>""</f>
        <v/>
      </c>
    </row>
    <row r="565" spans="1:41" s="10" customFormat="1" ht="409.6">
      <c r="A565" s="9"/>
      <c r="B565" s="9"/>
      <c r="C565" s="9"/>
      <c r="D565" s="10" t="str">
        <f>"28270"</f>
        <v>28270</v>
      </c>
      <c r="E565" s="11" t="str">
        <f>""</f>
        <v/>
      </c>
      <c r="F565" s="11" t="str">
        <f t="shared" si="345"/>
        <v>372418</v>
      </c>
      <c r="G565" s="11" t="str">
        <f t="shared" si="346"/>
        <v>2017toJAN</v>
      </c>
      <c r="H565" s="11" t="str">
        <f t="shared" si="347"/>
        <v>CRSP06B</v>
      </c>
      <c r="I565" s="11" t="str">
        <f t="shared" si="348"/>
        <v>34</v>
      </c>
      <c r="J565" s="11" t="str">
        <f t="shared" si="349"/>
        <v>Creditor</v>
      </c>
      <c r="K565" s="11" t="str">
        <f t="shared" si="367"/>
        <v>CS001855</v>
      </c>
      <c r="L565" s="10" t="str">
        <f t="shared" si="368"/>
        <v>Royal Mail</v>
      </c>
      <c r="M565" s="12" t="str">
        <f t="shared" si="369"/>
        <v>23/01/2017 00:00:00</v>
      </c>
      <c r="N565" s="12">
        <v>42758</v>
      </c>
      <c r="O565" s="10" t="str">
        <f t="shared" si="370"/>
        <v>C007660</v>
      </c>
      <c r="P565" s="13">
        <v>246.79</v>
      </c>
      <c r="Q565" s="11" t="str">
        <f>"246.7900"</f>
        <v>246.7900</v>
      </c>
      <c r="R565" s="10" t="str">
        <f t="shared" si="371"/>
        <v>C0004536</v>
      </c>
      <c r="S565" s="14" t="str">
        <f t="shared" si="372"/>
        <v>2269.6800</v>
      </c>
      <c r="T565" s="10">
        <v>29115</v>
      </c>
      <c r="U565" s="10">
        <v>1510</v>
      </c>
      <c r="V565" s="10" t="str">
        <f t="shared" si="373"/>
        <v>Communications and computing</v>
      </c>
      <c r="W565" s="10" t="str">
        <f t="shared" si="374"/>
        <v>Supplies and Services</v>
      </c>
      <c r="X565" s="10" t="str">
        <f>VLOOKUP(U565,'[1]Account code lookup'!A:B,2,0)</f>
        <v>Postages Expenses</v>
      </c>
      <c r="Z565" s="10" t="str">
        <f>"Development Management"</f>
        <v>Development Management</v>
      </c>
      <c r="AA565" s="10" t="str">
        <f>"Strategy and Commissioning"</f>
        <v>Strategy and Commissioning</v>
      </c>
      <c r="AB565" s="10" t="str">
        <f>"4sac"</f>
        <v>4sac</v>
      </c>
      <c r="AD565" s="10" t="str">
        <f>"sac02"</f>
        <v>sac02</v>
      </c>
      <c r="AE565" s="10" t="str">
        <f t="shared" si="375"/>
        <v>Community Services / Customer Services</v>
      </c>
      <c r="AG565" s="10" t="str">
        <f>"29115/1510"</f>
        <v>29115/1510</v>
      </c>
      <c r="AI565" s="10" t="str">
        <f t="shared" si="376"/>
        <v>14suse</v>
      </c>
      <c r="AJ565" s="15" t="str">
        <f t="shared" si="377"/>
        <v>Postage December 2016</v>
      </c>
      <c r="AK565" s="10" t="str">
        <f t="shared" si="362"/>
        <v>Revenue</v>
      </c>
      <c r="AL565" s="10" t="str">
        <f>""</f>
        <v/>
      </c>
      <c r="AM565" s="10" t="str">
        <f>""</f>
        <v/>
      </c>
      <c r="AN565" s="10" t="str">
        <f>""</f>
        <v/>
      </c>
      <c r="AO565" s="10" t="str">
        <f>""</f>
        <v/>
      </c>
    </row>
    <row r="566" spans="1:41" s="10" customFormat="1" ht="409.6">
      <c r="A566" s="9"/>
      <c r="B566" s="9"/>
      <c r="C566" s="9"/>
      <c r="D566" s="10" t="str">
        <f>"28462"</f>
        <v>28462</v>
      </c>
      <c r="E566" s="11" t="str">
        <f>""</f>
        <v/>
      </c>
      <c r="F566" s="11" t="str">
        <f t="shared" si="345"/>
        <v>372418</v>
      </c>
      <c r="G566" s="11" t="str">
        <f t="shared" si="346"/>
        <v>2017toJAN</v>
      </c>
      <c r="H566" s="11" t="str">
        <f t="shared" si="347"/>
        <v>CRSP06B</v>
      </c>
      <c r="I566" s="11" t="str">
        <f t="shared" si="348"/>
        <v>34</v>
      </c>
      <c r="J566" s="11" t="str">
        <f t="shared" si="349"/>
        <v>Creditor</v>
      </c>
      <c r="K566" s="11" t="str">
        <f t="shared" si="367"/>
        <v>CS001855</v>
      </c>
      <c r="L566" s="10" t="str">
        <f t="shared" si="368"/>
        <v>Royal Mail</v>
      </c>
      <c r="M566" s="12" t="str">
        <f t="shared" si="369"/>
        <v>23/01/2017 00:00:00</v>
      </c>
      <c r="N566" s="12">
        <v>42758</v>
      </c>
      <c r="O566" s="10" t="str">
        <f t="shared" si="370"/>
        <v>C007660</v>
      </c>
      <c r="P566" s="13">
        <v>10.15</v>
      </c>
      <c r="Q566" s="11" t="str">
        <f>"10.1500"</f>
        <v>10.1500</v>
      </c>
      <c r="R566" s="10" t="str">
        <f t="shared" si="371"/>
        <v>C0004536</v>
      </c>
      <c r="S566" s="14" t="str">
        <f t="shared" si="372"/>
        <v>2269.6800</v>
      </c>
      <c r="T566" s="10">
        <v>29200</v>
      </c>
      <c r="U566" s="10">
        <v>1510</v>
      </c>
      <c r="V566" s="10" t="str">
        <f t="shared" si="373"/>
        <v>Communications and computing</v>
      </c>
      <c r="W566" s="10" t="str">
        <f t="shared" si="374"/>
        <v>Supplies and Services</v>
      </c>
      <c r="X566" s="10" t="str">
        <f>VLOOKUP(U566,'[1]Account code lookup'!A:B,2,0)</f>
        <v>Postages Expenses</v>
      </c>
      <c r="Z566" s="10" t="str">
        <f>"Strategic Planning Economy"</f>
        <v>Strategic Planning Economy</v>
      </c>
      <c r="AA566" s="10" t="str">
        <f>"Strategy and Commissioning"</f>
        <v>Strategy and Commissioning</v>
      </c>
      <c r="AB566" s="10" t="str">
        <f>"4sac"</f>
        <v>4sac</v>
      </c>
      <c r="AD566" s="10" t="str">
        <f>"sac01"</f>
        <v>sac01</v>
      </c>
      <c r="AE566" s="10" t="str">
        <f t="shared" si="375"/>
        <v>Community Services / Customer Services</v>
      </c>
      <c r="AG566" s="10" t="str">
        <f>"29200/1510"</f>
        <v>29200/1510</v>
      </c>
      <c r="AI566" s="10" t="str">
        <f t="shared" si="376"/>
        <v>14suse</v>
      </c>
      <c r="AJ566" s="15" t="str">
        <f t="shared" si="377"/>
        <v>Postage December 2016</v>
      </c>
      <c r="AK566" s="10" t="str">
        <f t="shared" si="362"/>
        <v>Revenue</v>
      </c>
      <c r="AL566" s="10" t="str">
        <f>""</f>
        <v/>
      </c>
      <c r="AM566" s="10" t="str">
        <f>""</f>
        <v/>
      </c>
      <c r="AN566" s="10" t="str">
        <f>""</f>
        <v/>
      </c>
      <c r="AO566" s="10" t="str">
        <f>""</f>
        <v/>
      </c>
    </row>
    <row r="567" spans="1:41" s="10" customFormat="1" ht="409.6">
      <c r="A567" s="9"/>
      <c r="B567" s="9"/>
      <c r="C567" s="9"/>
      <c r="D567" s="10" t="str">
        <f>"28463"</f>
        <v>28463</v>
      </c>
      <c r="E567" s="11" t="str">
        <f>""</f>
        <v/>
      </c>
      <c r="F567" s="11" t="str">
        <f t="shared" si="345"/>
        <v>372418</v>
      </c>
      <c r="G567" s="11" t="str">
        <f t="shared" si="346"/>
        <v>2017toJAN</v>
      </c>
      <c r="H567" s="11" t="str">
        <f t="shared" si="347"/>
        <v>CRSP06B</v>
      </c>
      <c r="I567" s="11" t="str">
        <f t="shared" si="348"/>
        <v>34</v>
      </c>
      <c r="J567" s="11" t="str">
        <f t="shared" si="349"/>
        <v>Creditor</v>
      </c>
      <c r="K567" s="11" t="str">
        <f t="shared" si="367"/>
        <v>CS001855</v>
      </c>
      <c r="L567" s="10" t="str">
        <f t="shared" si="368"/>
        <v>Royal Mail</v>
      </c>
      <c r="M567" s="12" t="str">
        <f t="shared" si="369"/>
        <v>23/01/2017 00:00:00</v>
      </c>
      <c r="N567" s="12">
        <v>42758</v>
      </c>
      <c r="O567" s="10" t="str">
        <f t="shared" si="370"/>
        <v>C007660</v>
      </c>
      <c r="P567" s="13">
        <v>579.29999999999995</v>
      </c>
      <c r="Q567" s="11" t="str">
        <f>"579.3000"</f>
        <v>579.3000</v>
      </c>
      <c r="R567" s="10" t="str">
        <f t="shared" si="371"/>
        <v>C0004536</v>
      </c>
      <c r="S567" s="14" t="str">
        <f t="shared" si="372"/>
        <v>2269.6800</v>
      </c>
      <c r="T567" s="10">
        <v>29200</v>
      </c>
      <c r="U567" s="10">
        <v>1510</v>
      </c>
      <c r="V567" s="10" t="str">
        <f t="shared" si="373"/>
        <v>Communications and computing</v>
      </c>
      <c r="W567" s="10" t="str">
        <f t="shared" si="374"/>
        <v>Supplies and Services</v>
      </c>
      <c r="X567" s="10" t="str">
        <f>VLOOKUP(U567,'[1]Account code lookup'!A:B,2,0)</f>
        <v>Postages Expenses</v>
      </c>
      <c r="Z567" s="10" t="str">
        <f>"Strategic Planning Economy"</f>
        <v>Strategic Planning Economy</v>
      </c>
      <c r="AA567" s="10" t="str">
        <f>"Strategy and Commissioning"</f>
        <v>Strategy and Commissioning</v>
      </c>
      <c r="AB567" s="10" t="str">
        <f>"4sac"</f>
        <v>4sac</v>
      </c>
      <c r="AD567" s="10" t="str">
        <f>"sac01"</f>
        <v>sac01</v>
      </c>
      <c r="AE567" s="10" t="str">
        <f t="shared" si="375"/>
        <v>Community Services / Customer Services</v>
      </c>
      <c r="AG567" s="10" t="str">
        <f>"29200/1510"</f>
        <v>29200/1510</v>
      </c>
      <c r="AI567" s="10" t="str">
        <f t="shared" si="376"/>
        <v>14suse</v>
      </c>
      <c r="AJ567" s="15" t="str">
        <f t="shared" si="377"/>
        <v>Postage December 2016</v>
      </c>
      <c r="AK567" s="10" t="str">
        <f t="shared" si="362"/>
        <v>Revenue</v>
      </c>
      <c r="AL567" s="10" t="str">
        <f>""</f>
        <v/>
      </c>
      <c r="AM567" s="10" t="str">
        <f>""</f>
        <v/>
      </c>
      <c r="AN567" s="10" t="str">
        <f>""</f>
        <v/>
      </c>
      <c r="AO567" s="10" t="str">
        <f>""</f>
        <v/>
      </c>
    </row>
    <row r="568" spans="1:41" s="10" customFormat="1" ht="409.6">
      <c r="A568" s="9"/>
      <c r="B568" s="9"/>
      <c r="C568" s="9"/>
      <c r="D568" s="10" t="str">
        <f>"28465"</f>
        <v>28465</v>
      </c>
      <c r="E568" s="11" t="str">
        <f>""</f>
        <v/>
      </c>
      <c r="F568" s="11" t="str">
        <f t="shared" si="345"/>
        <v>372418</v>
      </c>
      <c r="G568" s="11" t="str">
        <f t="shared" si="346"/>
        <v>2017toJAN</v>
      </c>
      <c r="H568" s="11" t="str">
        <f t="shared" si="347"/>
        <v>CRSP06B</v>
      </c>
      <c r="I568" s="11" t="str">
        <f t="shared" si="348"/>
        <v>34</v>
      </c>
      <c r="J568" s="11" t="str">
        <f t="shared" si="349"/>
        <v>Creditor</v>
      </c>
      <c r="K568" s="11" t="str">
        <f>"CS001858"</f>
        <v>CS001858</v>
      </c>
      <c r="L568" s="10" t="str">
        <f>"RSK Environment Ltd"</f>
        <v>RSK Environment Ltd</v>
      </c>
      <c r="M568" s="12" t="str">
        <f>"11/01/2017 00:00:00"</f>
        <v>11/01/2017 00:00:00</v>
      </c>
      <c r="N568" s="12">
        <v>42746</v>
      </c>
      <c r="O568" s="10" t="str">
        <f>"C007837"</f>
        <v>C007837</v>
      </c>
      <c r="P568" s="13">
        <v>2225</v>
      </c>
      <c r="Q568" s="11" t="str">
        <f>"2225.0000"</f>
        <v>2225.0000</v>
      </c>
      <c r="R568" s="10" t="str">
        <f>"C0004369"</f>
        <v>C0004369</v>
      </c>
      <c r="S568" s="14" t="str">
        <f>"2670.0000"</f>
        <v>2670.0000</v>
      </c>
      <c r="T568" s="10">
        <v>40081</v>
      </c>
      <c r="U568" s="10">
        <v>4100</v>
      </c>
      <c r="V568" s="10" t="str">
        <f>"Capital Works"</f>
        <v>Capital Works</v>
      </c>
      <c r="W568" s="10" t="str">
        <f>"Capital Works"</f>
        <v>Capital Works</v>
      </c>
      <c r="X568" s="10" t="str">
        <f>VLOOKUP(U568,'[1]Account code lookup'!A:B,2,0)</f>
        <v>Contractors Capital Payments</v>
      </c>
      <c r="Z568" s="10" t="str">
        <f>"Capital Regen and Housing"</f>
        <v>Capital Regen and Housing</v>
      </c>
      <c r="AA568" s="10" t="str">
        <f>"Commercial Development Capital"</f>
        <v>Commercial Development Capital</v>
      </c>
      <c r="AB568" s="10" t="str">
        <f>"c2cdb"</f>
        <v>c2cdb</v>
      </c>
      <c r="AD568" s="10" t="str">
        <f>"ccdb02"</f>
        <v>ccdb02</v>
      </c>
      <c r="AE568" s="10" t="str">
        <f>"Finance &amp; Procurement / Finance"</f>
        <v>Finance &amp; Procurement / Finance</v>
      </c>
      <c r="AG568" s="10" t="str">
        <f>"40081/4100"</f>
        <v>40081/4100</v>
      </c>
      <c r="AI568" s="10" t="str">
        <f>"41cwrk"</f>
        <v>41cwrk</v>
      </c>
      <c r="AJ568" s="15" t="str">
        <f>"BICESTER CAR PARK_x000D_
_x000D_
Vibration assessment_x000D_
_x000D_
Site attendance to monitor baseline and vehicle induced vibration_x000D_
levels (also includes travel costs, equipment hire/maintenance_x000D_
and subsistence)_x000D_
£1,275_x000D_
Downloading, analysis and reporting of vibration leve"</f>
        <v>BICESTER CAR PARK_x000D_
_x000D_
Vibration assessment_x000D_
_x000D_
Site attendance to monitor baseline and vehicle induced vibration_x000D_
levels (also includes travel costs, equipment hire/maintenance_x000D_
and subsistence)_x000D_
£1,275_x000D_
Downloading, analysis and reporting of vibration leve</v>
      </c>
      <c r="AK568" s="10" t="str">
        <f>"Capital"</f>
        <v>Capital</v>
      </c>
      <c r="AL568" s="10" t="str">
        <f>""</f>
        <v/>
      </c>
      <c r="AM568" s="10" t="str">
        <f>""</f>
        <v/>
      </c>
      <c r="AN568" s="10" t="str">
        <f>""</f>
        <v/>
      </c>
      <c r="AO568" s="10" t="str">
        <f>""</f>
        <v/>
      </c>
    </row>
    <row r="569" spans="1:41" s="10" customFormat="1" ht="409.6">
      <c r="A569" s="9"/>
      <c r="B569" s="9"/>
      <c r="C569" s="9"/>
      <c r="D569" s="10" t="str">
        <f>"28554"</f>
        <v>28554</v>
      </c>
      <c r="E569" s="11" t="str">
        <f>""</f>
        <v/>
      </c>
      <c r="F569" s="11" t="str">
        <f t="shared" si="345"/>
        <v>372418</v>
      </c>
      <c r="G569" s="11" t="str">
        <f t="shared" si="346"/>
        <v>2017toJAN</v>
      </c>
      <c r="H569" s="11" t="str">
        <f t="shared" si="347"/>
        <v>CRSP06B</v>
      </c>
      <c r="I569" s="11" t="str">
        <f t="shared" si="348"/>
        <v>34</v>
      </c>
      <c r="J569" s="11" t="str">
        <f t="shared" si="349"/>
        <v>Creditor</v>
      </c>
      <c r="K569" s="11" t="str">
        <f>"CS003071"</f>
        <v>CS003071</v>
      </c>
      <c r="L569" s="10" t="str">
        <f>"RSM UK Consulting LLP"</f>
        <v>RSM UK Consulting LLP</v>
      </c>
      <c r="M569" s="12" t="str">
        <f>"26/01/2017 00:00:00"</f>
        <v>26/01/2017 00:00:00</v>
      </c>
      <c r="N569" s="12">
        <v>42761</v>
      </c>
      <c r="O569" s="10" t="str">
        <f>"C007531"</f>
        <v>C007531</v>
      </c>
      <c r="P569" s="13">
        <v>4858.5</v>
      </c>
      <c r="Q569" s="11" t="str">
        <f>"4858.5000"</f>
        <v>4858.5000</v>
      </c>
      <c r="R569" s="10" t="str">
        <f>"059266"</f>
        <v>059266</v>
      </c>
      <c r="S569" s="14" t="str">
        <f>"5830.2000"</f>
        <v>5830.2000</v>
      </c>
      <c r="T569" s="10">
        <v>21747</v>
      </c>
      <c r="U569" s="10">
        <v>1765</v>
      </c>
      <c r="V569" s="10" t="str">
        <f>"Professional Fees"</f>
        <v>Professional Fees</v>
      </c>
      <c r="W569" s="10" t="str">
        <f>"Third Party Payments"</f>
        <v>Third Party Payments</v>
      </c>
      <c r="X569" s="10" t="str">
        <f>VLOOKUP(U569,'[1]Account code lookup'!A:B,2,0)</f>
        <v>Consultants Fees</v>
      </c>
      <c r="Z569" s="10" t="str">
        <f>"Finance and Procurement"</f>
        <v>Finance and Procurement</v>
      </c>
      <c r="AA569" s="10" t="str">
        <f>"Chief Finance Officer"</f>
        <v>Chief Finance Officer</v>
      </c>
      <c r="AB569" s="10" t="str">
        <f>"3cfo"</f>
        <v>3cfo</v>
      </c>
      <c r="AD569" s="10" t="str">
        <f>"cfo02"</f>
        <v>cfo02</v>
      </c>
      <c r="AE569" s="10" t="str">
        <f>"Law &amp; Governance / Legal"</f>
        <v>Law &amp; Governance / Legal</v>
      </c>
      <c r="AG569" s="10" t="str">
        <f>"21747/1765"</f>
        <v>21747/1765</v>
      </c>
      <c r="AI569" s="10" t="str">
        <f>"17tpp"</f>
        <v>17tpp</v>
      </c>
      <c r="AJ569" s="15" t="str">
        <f>"Prof Services rendered Board remuneration research and reporting"</f>
        <v>Prof Services rendered Board remuneration research and reporting</v>
      </c>
      <c r="AK569" s="10" t="str">
        <f>"Revenue"</f>
        <v>Revenue</v>
      </c>
      <c r="AL569" s="10" t="str">
        <f>""</f>
        <v/>
      </c>
      <c r="AM569" s="10" t="str">
        <f>""</f>
        <v/>
      </c>
      <c r="AN569" s="10" t="str">
        <f>""</f>
        <v/>
      </c>
      <c r="AO569" s="10" t="str">
        <f>""</f>
        <v/>
      </c>
    </row>
    <row r="570" spans="1:41" s="10" customFormat="1" ht="409.6">
      <c r="A570" s="9"/>
      <c r="B570" s="9"/>
      <c r="C570" s="9"/>
      <c r="D570" s="10" t="str">
        <f>"28593"</f>
        <v>28593</v>
      </c>
      <c r="E570" s="11" t="str">
        <f>""</f>
        <v/>
      </c>
      <c r="F570" s="11" t="str">
        <f t="shared" si="345"/>
        <v>372418</v>
      </c>
      <c r="G570" s="11" t="str">
        <f t="shared" si="346"/>
        <v>2017toJAN</v>
      </c>
      <c r="H570" s="11" t="str">
        <f t="shared" si="347"/>
        <v>CRSP06B</v>
      </c>
      <c r="I570" s="11" t="str">
        <f t="shared" si="348"/>
        <v>34</v>
      </c>
      <c r="J570" s="11" t="str">
        <f t="shared" si="349"/>
        <v>Creditor</v>
      </c>
      <c r="K570" s="11" t="str">
        <f>"CS001859"</f>
        <v>CS001859</v>
      </c>
      <c r="L570" s="10" t="str">
        <f>"RSPB"</f>
        <v>RSPB</v>
      </c>
      <c r="M570" s="12" t="str">
        <f>"16/01/2017 00:00:00"</f>
        <v>16/01/2017 00:00:00</v>
      </c>
      <c r="N570" s="12">
        <v>42751</v>
      </c>
      <c r="O570" s="10" t="str">
        <f>"C007410"</f>
        <v>C007410</v>
      </c>
      <c r="P570" s="13">
        <v>2000</v>
      </c>
      <c r="Q570" s="11" t="str">
        <f>"2000.0000"</f>
        <v>2000.0000</v>
      </c>
      <c r="R570" s="10" t="str">
        <f>"C0004443"</f>
        <v>C0004443</v>
      </c>
      <c r="S570" s="14" t="str">
        <f>"2000.0000"</f>
        <v>2000.0000</v>
      </c>
      <c r="T570" s="10">
        <v>29300</v>
      </c>
      <c r="U570" s="10">
        <v>1580</v>
      </c>
      <c r="V570" s="10" t="str">
        <f>"Grants and subscriptions"</f>
        <v>Grants and subscriptions</v>
      </c>
      <c r="W570" s="10" t="str">
        <f>"Supplies and Services"</f>
        <v>Supplies and Services</v>
      </c>
      <c r="X570" s="10" t="str">
        <f>VLOOKUP(U570,'[1]Account code lookup'!A:B,2,0)</f>
        <v>Grants</v>
      </c>
      <c r="Z570" s="10" t="str">
        <f>"Community Services"</f>
        <v>Community Services</v>
      </c>
      <c r="AA570" s="10" t="str">
        <f>"Operations and Delivery"</f>
        <v>Operations and Delivery</v>
      </c>
      <c r="AB570" s="10" t="str">
        <f>"5oad"</f>
        <v>5oad</v>
      </c>
      <c r="AD570" s="10" t="str">
        <f>"oad01"</f>
        <v>oad01</v>
      </c>
      <c r="AE570" s="10" t="str">
        <f>"Community Services / Countryside &amp; Community"</f>
        <v>Community Services / Countryside &amp; Community</v>
      </c>
      <c r="AG570" s="10" t="str">
        <f>"29300/1580"</f>
        <v>29300/1580</v>
      </c>
      <c r="AI570" s="10" t="str">
        <f>"14suse"</f>
        <v>14suse</v>
      </c>
      <c r="AJ570" s="15" t="str">
        <f>"2016/17 Biodiversity Project Grant"</f>
        <v>2016/17 Biodiversity Project Grant</v>
      </c>
      <c r="AK570" s="10" t="str">
        <f>"Revenue"</f>
        <v>Revenue</v>
      </c>
      <c r="AL570" s="10" t="str">
        <f>""</f>
        <v/>
      </c>
      <c r="AM570" s="10" t="str">
        <f>""</f>
        <v/>
      </c>
      <c r="AN570" s="10" t="str">
        <f>""</f>
        <v/>
      </c>
      <c r="AO570" s="10" t="str">
        <f>""</f>
        <v/>
      </c>
    </row>
    <row r="571" spans="1:41" s="19" customFormat="1" ht="409.6">
      <c r="A571" s="18"/>
      <c r="B571" s="18"/>
      <c r="C571" s="18"/>
      <c r="D571" s="19" t="str">
        <f>"29448"</f>
        <v>29448</v>
      </c>
      <c r="E571" s="20" t="str">
        <f>""</f>
        <v/>
      </c>
      <c r="F571" s="20" t="str">
        <f t="shared" si="345"/>
        <v>372418</v>
      </c>
      <c r="G571" s="20" t="str">
        <f t="shared" si="346"/>
        <v>2017toJAN</v>
      </c>
      <c r="H571" s="20" t="str">
        <f t="shared" si="347"/>
        <v>CRSP06B</v>
      </c>
      <c r="I571" s="20" t="str">
        <f t="shared" si="348"/>
        <v>34</v>
      </c>
      <c r="J571" s="20" t="str">
        <f t="shared" si="349"/>
        <v>Creditor</v>
      </c>
      <c r="K571" s="20" t="str">
        <f>"CS003030"</f>
        <v>CS003030</v>
      </c>
      <c r="L571" s="19" t="str">
        <f>"Sam Williamson"</f>
        <v>Sam Williamson</v>
      </c>
      <c r="M571" s="21" t="str">
        <f>"10/01/2017 00:00:00"</f>
        <v>10/01/2017 00:00:00</v>
      </c>
      <c r="N571" s="21">
        <v>42745</v>
      </c>
      <c r="O571" s="19" t="str">
        <f>"C007573"</f>
        <v>C007573</v>
      </c>
      <c r="P571" s="22">
        <v>1000</v>
      </c>
      <c r="Q571" s="20" t="str">
        <f>"1000.0000"</f>
        <v>1000.0000</v>
      </c>
      <c r="R571" s="19" t="str">
        <f>"059236"</f>
        <v>059236</v>
      </c>
      <c r="S571" s="23" t="str">
        <f>"1000.0000"</f>
        <v>1000.0000</v>
      </c>
      <c r="T571" s="19">
        <v>21759</v>
      </c>
      <c r="U571" s="19">
        <v>1768</v>
      </c>
      <c r="V571" s="19" t="str">
        <f>"Professional Fees"</f>
        <v>Professional Fees</v>
      </c>
      <c r="W571" s="19" t="str">
        <f>"Third Party Payments"</f>
        <v>Third Party Payments</v>
      </c>
      <c r="X571" s="19" t="str">
        <f>VLOOKUP(U571,'[1]Account code lookup'!A:B,2,0)</f>
        <v>Bicester Healthy New Towns</v>
      </c>
      <c r="Z571" s="19" t="str">
        <f>"Dir of Operations and Delivery"</f>
        <v>Dir of Operations and Delivery</v>
      </c>
      <c r="AA571" s="19" t="str">
        <f t="shared" ref="AA571:AA578" si="378">"Operations and Delivery"</f>
        <v>Operations and Delivery</v>
      </c>
      <c r="AB571" s="19" t="str">
        <f t="shared" ref="AB571:AB578" si="379">"5oad"</f>
        <v>5oad</v>
      </c>
      <c r="AD571" s="19" t="str">
        <f>"oad03"</f>
        <v>oad03</v>
      </c>
      <c r="AE571" s="19" t="str">
        <f>"Finance &amp; Procurement / Head of Finance &amp; Procurement"</f>
        <v>Finance &amp; Procurement / Head of Finance &amp; Procurement</v>
      </c>
      <c r="AG571" s="19" t="str">
        <f>"21759/1768"</f>
        <v>21759/1768</v>
      </c>
      <c r="AI571" s="19" t="str">
        <f>"17tpp"</f>
        <v>17tpp</v>
      </c>
      <c r="AJ571" s="24" t="str">
        <f>"Healthy New Town evaluation work."</f>
        <v>Healthy New Town evaluation work.</v>
      </c>
      <c r="AK571" s="19" t="str">
        <f t="shared" ref="AK571:AK581" si="380">"Revenue"</f>
        <v>Revenue</v>
      </c>
      <c r="AL571" s="19" t="str">
        <f>""</f>
        <v/>
      </c>
      <c r="AM571" s="19" t="str">
        <f>""</f>
        <v/>
      </c>
      <c r="AN571" s="19" t="str">
        <f>""</f>
        <v/>
      </c>
      <c r="AO571" s="19" t="str">
        <f>""</f>
        <v/>
      </c>
    </row>
    <row r="572" spans="1:41" s="10" customFormat="1" ht="409.6">
      <c r="A572" s="9"/>
      <c r="B572" s="9"/>
      <c r="C572" s="9"/>
      <c r="D572" s="10" t="str">
        <f>"29449"</f>
        <v>29449</v>
      </c>
      <c r="E572" s="11" t="str">
        <f>""</f>
        <v/>
      </c>
      <c r="F572" s="11" t="str">
        <f t="shared" si="345"/>
        <v>372418</v>
      </c>
      <c r="G572" s="11" t="str">
        <f t="shared" si="346"/>
        <v>2017toJAN</v>
      </c>
      <c r="H572" s="11" t="str">
        <f t="shared" si="347"/>
        <v>CRSP06B</v>
      </c>
      <c r="I572" s="11" t="str">
        <f t="shared" si="348"/>
        <v>34</v>
      </c>
      <c r="J572" s="11" t="str">
        <f t="shared" si="349"/>
        <v>Creditor</v>
      </c>
      <c r="K572" s="11" t="str">
        <f>"CS001511"</f>
        <v>CS001511</v>
      </c>
      <c r="L572" s="10" t="str">
        <f>"Scan Coin"</f>
        <v>Scan Coin</v>
      </c>
      <c r="M572" s="12" t="str">
        <f>"06/01/2017 00:00:00"</f>
        <v>06/01/2017 00:00:00</v>
      </c>
      <c r="N572" s="12">
        <v>42741</v>
      </c>
      <c r="O572" s="10" t="str">
        <f>"C007162"</f>
        <v>C007162</v>
      </c>
      <c r="P572" s="13">
        <v>7978.2</v>
      </c>
      <c r="Q572" s="11" t="str">
        <f>"7978.2000"</f>
        <v>7978.2000</v>
      </c>
      <c r="R572" s="10" t="str">
        <f>"C0004302"</f>
        <v>C0004302</v>
      </c>
      <c r="S572" s="14" t="str">
        <f>"9573.8400"</f>
        <v>9573.8400</v>
      </c>
      <c r="T572" s="10">
        <v>21700</v>
      </c>
      <c r="U572" s="10">
        <v>1517</v>
      </c>
      <c r="V572" s="10" t="str">
        <f>"Communications and computing"</f>
        <v>Communications and computing</v>
      </c>
      <c r="W572" s="10" t="str">
        <f>"Supplies and Services"</f>
        <v>Supplies and Services</v>
      </c>
      <c r="X572" s="10" t="str">
        <f>VLOOKUP(U572,'[1]Account code lookup'!A:B,2,0)</f>
        <v>Computer Hardware Expenses</v>
      </c>
      <c r="Z572" s="10" t="str">
        <f>"Community Services"</f>
        <v>Community Services</v>
      </c>
      <c r="AA572" s="10" t="str">
        <f t="shared" si="378"/>
        <v>Operations and Delivery</v>
      </c>
      <c r="AB572" s="10" t="str">
        <f t="shared" si="379"/>
        <v>5oad</v>
      </c>
      <c r="AD572" s="10" t="str">
        <f>"oad01"</f>
        <v>oad01</v>
      </c>
      <c r="AE572" s="10" t="str">
        <f>"Finance &amp; Procurement / Head of Finance &amp; Procurement"</f>
        <v>Finance &amp; Procurement / Head of Finance &amp; Procurement</v>
      </c>
      <c r="AG572" s="10" t="str">
        <f>"21700/1517"</f>
        <v>21700/1517</v>
      </c>
      <c r="AI572" s="10" t="str">
        <f>"14suse"</f>
        <v>14suse</v>
      </c>
      <c r="AJ572" s="15" t="str">
        <f>"Renewal of Contract Number 90288 -  01/09/2016 - 31/08/2017_x000D_
_x000D_
FAO: Sarah Norbury"</f>
        <v>Renewal of Contract Number 90288 -  01/09/2016 - 31/08/2017_x000D_
_x000D_
FAO: Sarah Norbury</v>
      </c>
      <c r="AK572" s="10" t="str">
        <f t="shared" si="380"/>
        <v>Revenue</v>
      </c>
      <c r="AL572" s="10" t="str">
        <f>""</f>
        <v/>
      </c>
      <c r="AM572" s="10" t="str">
        <f>""</f>
        <v/>
      </c>
      <c r="AN572" s="10" t="str">
        <f>""</f>
        <v/>
      </c>
      <c r="AO572" s="10" t="str">
        <f>""</f>
        <v/>
      </c>
    </row>
    <row r="573" spans="1:41" s="10" customFormat="1" ht="409.6">
      <c r="A573" s="9"/>
      <c r="B573" s="9"/>
      <c r="C573" s="9"/>
      <c r="D573" s="10" t="str">
        <f>"29450"</f>
        <v>29450</v>
      </c>
      <c r="E573" s="11" t="str">
        <f>""</f>
        <v/>
      </c>
      <c r="F573" s="11" t="str">
        <f t="shared" si="345"/>
        <v>372418</v>
      </c>
      <c r="G573" s="11" t="str">
        <f t="shared" si="346"/>
        <v>2017toJAN</v>
      </c>
      <c r="H573" s="11" t="str">
        <f t="shared" si="347"/>
        <v>CRSP06B</v>
      </c>
      <c r="I573" s="11" t="str">
        <f t="shared" si="348"/>
        <v>34</v>
      </c>
      <c r="J573" s="11" t="str">
        <f t="shared" si="349"/>
        <v>Creditor</v>
      </c>
      <c r="K573" s="11" t="str">
        <f>"CS001518"</f>
        <v>CS001518</v>
      </c>
      <c r="L573" s="10" t="str">
        <f>"Scottish Widows &amp; Scottish Widows Unit F"</f>
        <v>Scottish Widows &amp; Scottish Widows Unit F</v>
      </c>
      <c r="M573" s="12" t="str">
        <f>"20/01/2017 00:00:00"</f>
        <v>20/01/2017 00:00:00</v>
      </c>
      <c r="N573" s="12">
        <v>42755</v>
      </c>
      <c r="O573" s="10" t="str">
        <f>"C003477"</f>
        <v>C003477</v>
      </c>
      <c r="P573" s="13">
        <v>1832.35</v>
      </c>
      <c r="Q573" s="11" t="str">
        <f>"1832.3500"</f>
        <v>1832.3500</v>
      </c>
      <c r="R573" s="10" t="str">
        <f>"C0004503"</f>
        <v>C0004503</v>
      </c>
      <c r="S573" s="14" t="str">
        <f>"4665.1400"</f>
        <v>4665.1400</v>
      </c>
      <c r="T573" s="10">
        <v>24030</v>
      </c>
      <c r="U573" s="10">
        <v>1234</v>
      </c>
      <c r="V573" s="10" t="str">
        <f>"Rents"</f>
        <v>Rents</v>
      </c>
      <c r="W573" s="10" t="str">
        <f>"Premises Related Expenditure"</f>
        <v>Premises Related Expenditure</v>
      </c>
      <c r="X573" s="10" t="str">
        <f>VLOOKUP(U573,'[1]Account code lookup'!A:B,2,0)</f>
        <v>Service Charge</v>
      </c>
      <c r="Z573" s="10" t="str">
        <f>"Community Services"</f>
        <v>Community Services</v>
      </c>
      <c r="AA573" s="10" t="str">
        <f t="shared" si="378"/>
        <v>Operations and Delivery</v>
      </c>
      <c r="AB573" s="10" t="str">
        <f t="shared" si="379"/>
        <v>5oad</v>
      </c>
      <c r="AD573" s="10" t="str">
        <f>"oad01"</f>
        <v>oad01</v>
      </c>
      <c r="AE573" s="10" t="str">
        <f>"Community Services / Arts Tourism and Health"</f>
        <v>Community Services / Arts Tourism and Health</v>
      </c>
      <c r="AG573" s="10" t="str">
        <f>"24030/1234"</f>
        <v>24030/1234</v>
      </c>
      <c r="AI573" s="10" t="str">
        <f>"12prem"</f>
        <v>12prem</v>
      </c>
      <c r="AJ573" s="15" t="str">
        <f>"On account service charge for Banbury Museum"</f>
        <v>On account service charge for Banbury Museum</v>
      </c>
      <c r="AK573" s="10" t="str">
        <f t="shared" si="380"/>
        <v>Revenue</v>
      </c>
      <c r="AL573" s="10" t="str">
        <f>""</f>
        <v/>
      </c>
      <c r="AM573" s="10" t="str">
        <f>""</f>
        <v/>
      </c>
      <c r="AN573" s="10" t="str">
        <f>""</f>
        <v/>
      </c>
      <c r="AO573" s="10" t="str">
        <f>""</f>
        <v/>
      </c>
    </row>
    <row r="574" spans="1:41" s="10" customFormat="1" ht="409.6">
      <c r="A574" s="9"/>
      <c r="B574" s="9"/>
      <c r="C574" s="9"/>
      <c r="D574" s="10" t="str">
        <f>"29451"</f>
        <v>29451</v>
      </c>
      <c r="E574" s="11" t="str">
        <f>""</f>
        <v/>
      </c>
      <c r="F574" s="11" t="str">
        <f t="shared" si="345"/>
        <v>372418</v>
      </c>
      <c r="G574" s="11" t="str">
        <f t="shared" si="346"/>
        <v>2017toJAN</v>
      </c>
      <c r="H574" s="11" t="str">
        <f t="shared" si="347"/>
        <v>CRSP06B</v>
      </c>
      <c r="I574" s="11" t="str">
        <f t="shared" si="348"/>
        <v>34</v>
      </c>
      <c r="J574" s="11" t="str">
        <f t="shared" si="349"/>
        <v>Creditor</v>
      </c>
      <c r="K574" s="11" t="str">
        <f>"CS001518"</f>
        <v>CS001518</v>
      </c>
      <c r="L574" s="10" t="str">
        <f>"Scottish Widows &amp; Scottish Widows Unit F"</f>
        <v>Scottish Widows &amp; Scottish Widows Unit F</v>
      </c>
      <c r="M574" s="12" t="str">
        <f>"20/01/2017 00:00:00"</f>
        <v>20/01/2017 00:00:00</v>
      </c>
      <c r="N574" s="12">
        <v>42755</v>
      </c>
      <c r="O574" s="10" t="str">
        <f>"C006723"</f>
        <v>C006723</v>
      </c>
      <c r="P574" s="13">
        <v>2055.27</v>
      </c>
      <c r="Q574" s="11" t="str">
        <f>"2055.2700"</f>
        <v>2055.2700</v>
      </c>
      <c r="R574" s="10" t="str">
        <f>"C0004503"</f>
        <v>C0004503</v>
      </c>
      <c r="S574" s="14" t="str">
        <f>"4665.1400"</f>
        <v>4665.1400</v>
      </c>
      <c r="T574" s="10">
        <v>24030</v>
      </c>
      <c r="U574" s="10">
        <v>1234</v>
      </c>
      <c r="V574" s="10" t="str">
        <f>"Rents"</f>
        <v>Rents</v>
      </c>
      <c r="W574" s="10" t="str">
        <f>"Premises Related Expenditure"</f>
        <v>Premises Related Expenditure</v>
      </c>
      <c r="X574" s="10" t="str">
        <f>VLOOKUP(U574,'[1]Account code lookup'!A:B,2,0)</f>
        <v>Service Charge</v>
      </c>
      <c r="Z574" s="10" t="str">
        <f>"Community Services"</f>
        <v>Community Services</v>
      </c>
      <c r="AA574" s="10" t="str">
        <f t="shared" si="378"/>
        <v>Operations and Delivery</v>
      </c>
      <c r="AB574" s="10" t="str">
        <f t="shared" si="379"/>
        <v>5oad</v>
      </c>
      <c r="AD574" s="10" t="str">
        <f>"oad01"</f>
        <v>oad01</v>
      </c>
      <c r="AE574" s="10" t="str">
        <f>"Community Services / Facilities Management"</f>
        <v>Community Services / Facilities Management</v>
      </c>
      <c r="AG574" s="10" t="str">
        <f>"24030/1234"</f>
        <v>24030/1234</v>
      </c>
      <c r="AI574" s="10" t="str">
        <f>"12prem"</f>
        <v>12prem</v>
      </c>
      <c r="AJ574" s="15" t="str">
        <f>""</f>
        <v/>
      </c>
      <c r="AK574" s="10" t="str">
        <f t="shared" si="380"/>
        <v>Revenue</v>
      </c>
      <c r="AL574" s="10" t="str">
        <f>""</f>
        <v/>
      </c>
      <c r="AM574" s="10" t="str">
        <f>""</f>
        <v/>
      </c>
      <c r="AN574" s="10" t="str">
        <f>""</f>
        <v/>
      </c>
      <c r="AO574" s="10" t="str">
        <f>""</f>
        <v/>
      </c>
    </row>
    <row r="575" spans="1:41" s="10" customFormat="1" ht="409.6">
      <c r="A575" s="9"/>
      <c r="B575" s="9"/>
      <c r="C575" s="9"/>
      <c r="D575" s="10" t="str">
        <f>"29452"</f>
        <v>29452</v>
      </c>
      <c r="E575" s="11" t="str">
        <f>""</f>
        <v/>
      </c>
      <c r="F575" s="11" t="str">
        <f t="shared" si="345"/>
        <v>372418</v>
      </c>
      <c r="G575" s="11" t="str">
        <f t="shared" si="346"/>
        <v>2017toJAN</v>
      </c>
      <c r="H575" s="11" t="str">
        <f t="shared" si="347"/>
        <v>CRSP06B</v>
      </c>
      <c r="I575" s="11" t="str">
        <f t="shared" si="348"/>
        <v>34</v>
      </c>
      <c r="J575" s="11" t="str">
        <f t="shared" si="349"/>
        <v>Creditor</v>
      </c>
      <c r="K575" s="11" t="str">
        <f>"CS001521"</f>
        <v>CS001521</v>
      </c>
      <c r="L575" s="10" t="str">
        <f>"SDK Environmental Ltd"</f>
        <v>SDK Environmental Ltd</v>
      </c>
      <c r="M575" s="12" t="str">
        <f>"16/01/2017 00:00:00"</f>
        <v>16/01/2017 00:00:00</v>
      </c>
      <c r="N575" s="12">
        <v>42751</v>
      </c>
      <c r="O575" s="10" t="str">
        <f>"C002786"</f>
        <v>C002786</v>
      </c>
      <c r="P575" s="13">
        <v>-27.02</v>
      </c>
      <c r="Q575" s="11" t="str">
        <f>"-27.0200"</f>
        <v>-27.0200</v>
      </c>
      <c r="R575" s="10" t="str">
        <f>"C0004440"</f>
        <v>C0004440</v>
      </c>
      <c r="S575" s="14" t="str">
        <f>"1738.0500"</f>
        <v>1738.0500</v>
      </c>
      <c r="T575" s="10">
        <v>25570</v>
      </c>
      <c r="U575" s="10">
        <v>1765</v>
      </c>
      <c r="V575" s="10" t="str">
        <f>"Professional Fees"</f>
        <v>Professional Fees</v>
      </c>
      <c r="W575" s="10" t="str">
        <f>"Third Party Payments"</f>
        <v>Third Party Payments</v>
      </c>
      <c r="X575" s="10" t="str">
        <f>VLOOKUP(U575,'[1]Account code lookup'!A:B,2,0)</f>
        <v>Consultants Fees</v>
      </c>
      <c r="Z575" s="10" t="str">
        <f>"Environmental Services"</f>
        <v>Environmental Services</v>
      </c>
      <c r="AA575" s="10" t="str">
        <f t="shared" si="378"/>
        <v>Operations and Delivery</v>
      </c>
      <c r="AB575" s="10" t="str">
        <f t="shared" si="379"/>
        <v>5oad</v>
      </c>
      <c r="AD575" s="10" t="str">
        <f>"oad02"</f>
        <v>oad02</v>
      </c>
      <c r="AE575" s="10" t="str">
        <f>"Environmental Services / Environmental Services Admin"</f>
        <v>Environmental Services / Environmental Services Admin</v>
      </c>
      <c r="AG575" s="10" t="str">
        <f>"25570/1765"</f>
        <v>25570/1765</v>
      </c>
      <c r="AI575" s="10" t="str">
        <f>"17tpp"</f>
        <v>17tpp</v>
      </c>
      <c r="AJ575" s="15" t="str">
        <f>"Credit Note - June Invoice"</f>
        <v>Credit Note - June Invoice</v>
      </c>
      <c r="AK575" s="10" t="str">
        <f t="shared" si="380"/>
        <v>Revenue</v>
      </c>
      <c r="AL575" s="10" t="str">
        <f>""</f>
        <v/>
      </c>
      <c r="AM575" s="10" t="str">
        <f>""</f>
        <v/>
      </c>
      <c r="AN575" s="10" t="str">
        <f>""</f>
        <v/>
      </c>
      <c r="AO575" s="10" t="str">
        <f>""</f>
        <v/>
      </c>
    </row>
    <row r="576" spans="1:41" s="10" customFormat="1" ht="409.6">
      <c r="A576" s="9"/>
      <c r="B576" s="9"/>
      <c r="C576" s="9"/>
      <c r="D576" s="10" t="str">
        <f>"29453"</f>
        <v>29453</v>
      </c>
      <c r="E576" s="11" t="str">
        <f>""</f>
        <v/>
      </c>
      <c r="F576" s="11" t="str">
        <f t="shared" si="345"/>
        <v>372418</v>
      </c>
      <c r="G576" s="11" t="str">
        <f t="shared" si="346"/>
        <v>2017toJAN</v>
      </c>
      <c r="H576" s="11" t="str">
        <f t="shared" si="347"/>
        <v>CRSP06B</v>
      </c>
      <c r="I576" s="11" t="str">
        <f t="shared" si="348"/>
        <v>34</v>
      </c>
      <c r="J576" s="11" t="str">
        <f t="shared" si="349"/>
        <v>Creditor</v>
      </c>
      <c r="K576" s="11" t="str">
        <f>"CS001521"</f>
        <v>CS001521</v>
      </c>
      <c r="L576" s="10" t="str">
        <f>"SDK Environmental Ltd"</f>
        <v>SDK Environmental Ltd</v>
      </c>
      <c r="M576" s="12" t="str">
        <f>"16/01/2017 00:00:00"</f>
        <v>16/01/2017 00:00:00</v>
      </c>
      <c r="N576" s="12">
        <v>42751</v>
      </c>
      <c r="O576" s="10" t="str">
        <f>"C007248"</f>
        <v>C007248</v>
      </c>
      <c r="P576" s="13">
        <v>1475.39</v>
      </c>
      <c r="Q576" s="11" t="str">
        <f>"1475.3900"</f>
        <v>1475.3900</v>
      </c>
      <c r="R576" s="10" t="str">
        <f>"C0004440"</f>
        <v>C0004440</v>
      </c>
      <c r="S576" s="14" t="str">
        <f>"1738.0500"</f>
        <v>1738.0500</v>
      </c>
      <c r="T576" s="10">
        <v>25570</v>
      </c>
      <c r="U576" s="10">
        <v>1765</v>
      </c>
      <c r="V576" s="10" t="str">
        <f>"Professional Fees"</f>
        <v>Professional Fees</v>
      </c>
      <c r="W576" s="10" t="str">
        <f>"Third Party Payments"</f>
        <v>Third Party Payments</v>
      </c>
      <c r="X576" s="10" t="str">
        <f>VLOOKUP(U576,'[1]Account code lookup'!A:B,2,0)</f>
        <v>Consultants Fees</v>
      </c>
      <c r="Z576" s="10" t="str">
        <f>"Environmental Services"</f>
        <v>Environmental Services</v>
      </c>
      <c r="AA576" s="10" t="str">
        <f t="shared" si="378"/>
        <v>Operations and Delivery</v>
      </c>
      <c r="AB576" s="10" t="str">
        <f t="shared" si="379"/>
        <v>5oad</v>
      </c>
      <c r="AD576" s="10" t="str">
        <f>"oad02"</f>
        <v>oad02</v>
      </c>
      <c r="AE576" s="10" t="str">
        <f>"Finance &amp; Procurement / Head of Finance &amp; Procurement"</f>
        <v>Finance &amp; Procurement / Head of Finance &amp; Procurement</v>
      </c>
      <c r="AG576" s="10" t="str">
        <f>"25570/1765"</f>
        <v>25570/1765</v>
      </c>
      <c r="AI576" s="10" t="str">
        <f>"17tpp"</f>
        <v>17tpp</v>
      </c>
      <c r="AJ576" s="15" t="str">
        <f>"Pest Control Services for 2016/17 (Estimate)"</f>
        <v>Pest Control Services for 2016/17 (Estimate)</v>
      </c>
      <c r="AK576" s="10" t="str">
        <f t="shared" si="380"/>
        <v>Revenue</v>
      </c>
      <c r="AL576" s="10" t="str">
        <f>""</f>
        <v/>
      </c>
      <c r="AM576" s="10" t="str">
        <f>""</f>
        <v/>
      </c>
      <c r="AN576" s="10" t="str">
        <f>""</f>
        <v/>
      </c>
      <c r="AO576" s="10" t="str">
        <f>""</f>
        <v/>
      </c>
    </row>
    <row r="577" spans="1:41" s="10" customFormat="1" ht="409.6">
      <c r="A577" s="9"/>
      <c r="B577" s="9"/>
      <c r="C577" s="9"/>
      <c r="D577" s="10" t="str">
        <f>"29454"</f>
        <v>29454</v>
      </c>
      <c r="E577" s="11" t="str">
        <f>""</f>
        <v/>
      </c>
      <c r="F577" s="11" t="str">
        <f t="shared" si="345"/>
        <v>372418</v>
      </c>
      <c r="G577" s="11" t="str">
        <f t="shared" si="346"/>
        <v>2017toJAN</v>
      </c>
      <c r="H577" s="11" t="str">
        <f t="shared" si="347"/>
        <v>CRSP06B</v>
      </c>
      <c r="I577" s="11" t="str">
        <f t="shared" si="348"/>
        <v>34</v>
      </c>
      <c r="J577" s="11" t="str">
        <f t="shared" si="349"/>
        <v>Creditor</v>
      </c>
      <c r="K577" s="11" t="str">
        <f>"CS001521"</f>
        <v>CS001521</v>
      </c>
      <c r="L577" s="10" t="str">
        <f>"SDK Environmental Ltd"</f>
        <v>SDK Environmental Ltd</v>
      </c>
      <c r="M577" s="12" t="str">
        <f>"27/01/2017 00:00:00"</f>
        <v>27/01/2017 00:00:00</v>
      </c>
      <c r="N577" s="12">
        <v>42762</v>
      </c>
      <c r="O577" s="10" t="str">
        <f>"C003971"</f>
        <v>C003971</v>
      </c>
      <c r="P577" s="13">
        <v>-27.02</v>
      </c>
      <c r="Q577" s="11" t="str">
        <f>"-27.0200"</f>
        <v>-27.0200</v>
      </c>
      <c r="R577" s="10" t="str">
        <f>"C0004606"</f>
        <v>C0004606</v>
      </c>
      <c r="S577" s="14" t="str">
        <f>"1303.4600"</f>
        <v>1303.4600</v>
      </c>
      <c r="T577" s="10">
        <v>25570</v>
      </c>
      <c r="U577" s="10">
        <v>1765</v>
      </c>
      <c r="V577" s="10" t="str">
        <f>"Professional Fees"</f>
        <v>Professional Fees</v>
      </c>
      <c r="W577" s="10" t="str">
        <f>"Third Party Payments"</f>
        <v>Third Party Payments</v>
      </c>
      <c r="X577" s="10" t="str">
        <f>VLOOKUP(U577,'[1]Account code lookup'!A:B,2,0)</f>
        <v>Consultants Fees</v>
      </c>
      <c r="Z577" s="10" t="str">
        <f>"Environmental Services"</f>
        <v>Environmental Services</v>
      </c>
      <c r="AA577" s="10" t="str">
        <f t="shared" si="378"/>
        <v>Operations and Delivery</v>
      </c>
      <c r="AB577" s="10" t="str">
        <f t="shared" si="379"/>
        <v>5oad</v>
      </c>
      <c r="AD577" s="10" t="str">
        <f>"oad02"</f>
        <v>oad02</v>
      </c>
      <c r="AE577" s="10" t="str">
        <f>"Finance &amp; Procurement / Head of Finance &amp; Procurement"</f>
        <v>Finance &amp; Procurement / Head of Finance &amp; Procurement</v>
      </c>
      <c r="AG577" s="10" t="str">
        <f>"25570/1765"</f>
        <v>25570/1765</v>
      </c>
      <c r="AI577" s="10" t="str">
        <f>"17tpp"</f>
        <v>17tpp</v>
      </c>
      <c r="AJ577" s="15" t="str">
        <f>"Credit - June Invoice"</f>
        <v>Credit - June Invoice</v>
      </c>
      <c r="AK577" s="10" t="str">
        <f t="shared" si="380"/>
        <v>Revenue</v>
      </c>
      <c r="AL577" s="10" t="str">
        <f>""</f>
        <v/>
      </c>
      <c r="AM577" s="10" t="str">
        <f>""</f>
        <v/>
      </c>
      <c r="AN577" s="10" t="str">
        <f>""</f>
        <v/>
      </c>
      <c r="AO577" s="10" t="str">
        <f>""</f>
        <v/>
      </c>
    </row>
    <row r="578" spans="1:41" s="10" customFormat="1" ht="409.6">
      <c r="A578" s="9"/>
      <c r="B578" s="9"/>
      <c r="C578" s="9"/>
      <c r="D578" s="10" t="str">
        <f>"29455"</f>
        <v>29455</v>
      </c>
      <c r="E578" s="11" t="str">
        <f>""</f>
        <v/>
      </c>
      <c r="F578" s="11" t="str">
        <f t="shared" si="345"/>
        <v>372418</v>
      </c>
      <c r="G578" s="11" t="str">
        <f t="shared" si="346"/>
        <v>2017toJAN</v>
      </c>
      <c r="H578" s="11" t="str">
        <f t="shared" si="347"/>
        <v>CRSP06B</v>
      </c>
      <c r="I578" s="11" t="str">
        <f t="shared" si="348"/>
        <v>34</v>
      </c>
      <c r="J578" s="11" t="str">
        <f t="shared" si="349"/>
        <v>Creditor</v>
      </c>
      <c r="K578" s="11" t="str">
        <f>"CS001521"</f>
        <v>CS001521</v>
      </c>
      <c r="L578" s="10" t="str">
        <f>"SDK Environmental Ltd"</f>
        <v>SDK Environmental Ltd</v>
      </c>
      <c r="M578" s="12" t="str">
        <f>"27/01/2017 00:00:00"</f>
        <v>27/01/2017 00:00:00</v>
      </c>
      <c r="N578" s="12">
        <v>42762</v>
      </c>
      <c r="O578" s="10" t="str">
        <f>"C008050"</f>
        <v>C008050</v>
      </c>
      <c r="P578" s="13">
        <v>1113.23</v>
      </c>
      <c r="Q578" s="11" t="str">
        <f>"1113.2300"</f>
        <v>1113.2300</v>
      </c>
      <c r="R578" s="10" t="str">
        <f>"C0004606"</f>
        <v>C0004606</v>
      </c>
      <c r="S578" s="14" t="str">
        <f>"1303.4600"</f>
        <v>1303.4600</v>
      </c>
      <c r="T578" s="10">
        <v>25570</v>
      </c>
      <c r="U578" s="10">
        <v>1765</v>
      </c>
      <c r="V578" s="10" t="str">
        <f>"Professional Fees"</f>
        <v>Professional Fees</v>
      </c>
      <c r="W578" s="10" t="str">
        <f>"Third Party Payments"</f>
        <v>Third Party Payments</v>
      </c>
      <c r="X578" s="10" t="str">
        <f>VLOOKUP(U578,'[1]Account code lookup'!A:B,2,0)</f>
        <v>Consultants Fees</v>
      </c>
      <c r="Z578" s="10" t="str">
        <f>"Environmental Services"</f>
        <v>Environmental Services</v>
      </c>
      <c r="AA578" s="10" t="str">
        <f t="shared" si="378"/>
        <v>Operations and Delivery</v>
      </c>
      <c r="AB578" s="10" t="str">
        <f t="shared" si="379"/>
        <v>5oad</v>
      </c>
      <c r="AD578" s="10" t="str">
        <f>"oad02"</f>
        <v>oad02</v>
      </c>
      <c r="AE578" s="10" t="str">
        <f>"Finance &amp; Procurement / Head of Finance &amp; Procurement"</f>
        <v>Finance &amp; Procurement / Head of Finance &amp; Procurement</v>
      </c>
      <c r="AG578" s="10" t="str">
        <f>"25570/1765"</f>
        <v>25570/1765</v>
      </c>
      <c r="AI578" s="10" t="str">
        <f>"17tpp"</f>
        <v>17tpp</v>
      </c>
      <c r="AJ578" s="15" t="str">
        <f>"Pest Control Services for 2016/17 _x000D_
(Estimate)"</f>
        <v>Pest Control Services for 2016/17 _x000D_
(Estimate)</v>
      </c>
      <c r="AK578" s="10" t="str">
        <f t="shared" si="380"/>
        <v>Revenue</v>
      </c>
      <c r="AL578" s="10" t="str">
        <f>""</f>
        <v/>
      </c>
      <c r="AM578" s="10" t="str">
        <f>""</f>
        <v/>
      </c>
      <c r="AN578" s="10" t="str">
        <f>""</f>
        <v/>
      </c>
      <c r="AO578" s="10" t="str">
        <f>""</f>
        <v/>
      </c>
    </row>
    <row r="579" spans="1:41" s="10" customFormat="1" ht="409.6">
      <c r="A579" s="9"/>
      <c r="B579" s="9"/>
      <c r="C579" s="9"/>
      <c r="D579" s="10" t="str">
        <f>"29976"</f>
        <v>29976</v>
      </c>
      <c r="E579" s="11" t="str">
        <f>""</f>
        <v/>
      </c>
      <c r="F579" s="11" t="str">
        <f t="shared" ref="F579:F642" si="381">"372418"</f>
        <v>372418</v>
      </c>
      <c r="G579" s="11" t="str">
        <f t="shared" ref="G579:G642" si="382">"2017toJAN"</f>
        <v>2017toJAN</v>
      </c>
      <c r="H579" s="11" t="str">
        <f t="shared" ref="H579:H642" si="383">"CRSP06B"</f>
        <v>CRSP06B</v>
      </c>
      <c r="I579" s="11" t="str">
        <f t="shared" ref="I579:I642" si="384">"34"</f>
        <v>34</v>
      </c>
      <c r="J579" s="11" t="str">
        <f t="shared" ref="J579:J642" si="385">"Creditor"</f>
        <v>Creditor</v>
      </c>
      <c r="K579" s="11" t="str">
        <f>"CS002992"</f>
        <v>CS002992</v>
      </c>
      <c r="L579" s="10" t="str">
        <f>"Sellick Partnership"</f>
        <v>Sellick Partnership</v>
      </c>
      <c r="M579" s="12" t="str">
        <f>"06/01/2017 00:00:00"</f>
        <v>06/01/2017 00:00:00</v>
      </c>
      <c r="N579" s="12">
        <v>42741</v>
      </c>
      <c r="O579" s="10" t="str">
        <f>"C007639"</f>
        <v>C007639</v>
      </c>
      <c r="P579" s="13">
        <v>3348.05</v>
      </c>
      <c r="Q579" s="11" t="str">
        <f>"3348.0500"</f>
        <v>3348.0500</v>
      </c>
      <c r="R579" s="10" t="str">
        <f>"C0004317"</f>
        <v>C0004317</v>
      </c>
      <c r="S579" s="14" t="str">
        <f>"10310.3900"</f>
        <v>10310.3900</v>
      </c>
      <c r="T579" s="10">
        <v>21723</v>
      </c>
      <c r="U579" s="10">
        <v>1161</v>
      </c>
      <c r="V579" s="10" t="str">
        <f>"Indirect employee expenses"</f>
        <v>Indirect employee expenses</v>
      </c>
      <c r="W579" s="10" t="str">
        <f>"Employees"</f>
        <v>Employees</v>
      </c>
      <c r="X579" s="10" t="str">
        <f>VLOOKUP(U579,'[1]Account code lookup'!A:B,2,0)</f>
        <v>Recruitment</v>
      </c>
      <c r="Z579" s="10" t="str">
        <f>"Regeneration and Housing"</f>
        <v>Regeneration and Housing</v>
      </c>
      <c r="AA579" s="10" t="str">
        <f>"Commercial Development"</f>
        <v>Commercial Development</v>
      </c>
      <c r="AB579" s="10" t="str">
        <f>"2cdb"</f>
        <v>2cdb</v>
      </c>
      <c r="AD579" s="10" t="str">
        <f>"cdb02"</f>
        <v>cdb02</v>
      </c>
      <c r="AE579" s="10" t="str">
        <f>"Regeneration &amp; Housing / Delivery Team"</f>
        <v>Regeneration &amp; Housing / Delivery Team</v>
      </c>
      <c r="AG579" s="10" t="str">
        <f>"21723/1161"</f>
        <v>21723/1161</v>
      </c>
      <c r="AI579" s="10" t="str">
        <f>"11emps"</f>
        <v>11emps</v>
      </c>
      <c r="AJ579" s="15" t="str">
        <f>"6 month contract - Richard Barratt_x000D_
(Facilities and Estate Management)"</f>
        <v>6 month contract - Richard Barratt_x000D_
(Facilities and Estate Management)</v>
      </c>
      <c r="AK579" s="10" t="str">
        <f t="shared" si="380"/>
        <v>Revenue</v>
      </c>
      <c r="AL579" s="10" t="str">
        <f>""</f>
        <v/>
      </c>
      <c r="AM579" s="10" t="str">
        <f>""</f>
        <v/>
      </c>
      <c r="AN579" s="10" t="str">
        <f>""</f>
        <v/>
      </c>
      <c r="AO579" s="10" t="str">
        <f>""</f>
        <v/>
      </c>
    </row>
    <row r="580" spans="1:41" s="10" customFormat="1" ht="409.6">
      <c r="A580" s="9"/>
      <c r="B580" s="9"/>
      <c r="C580" s="9"/>
      <c r="D580" s="10" t="str">
        <f>"29977"</f>
        <v>29977</v>
      </c>
      <c r="E580" s="11" t="str">
        <f>""</f>
        <v/>
      </c>
      <c r="F580" s="11" t="str">
        <f t="shared" si="381"/>
        <v>372418</v>
      </c>
      <c r="G580" s="11" t="str">
        <f t="shared" si="382"/>
        <v>2017toJAN</v>
      </c>
      <c r="H580" s="11" t="str">
        <f t="shared" si="383"/>
        <v>CRSP06B</v>
      </c>
      <c r="I580" s="11" t="str">
        <f t="shared" si="384"/>
        <v>34</v>
      </c>
      <c r="J580" s="11" t="str">
        <f t="shared" si="385"/>
        <v>Creditor</v>
      </c>
      <c r="K580" s="11" t="str">
        <f>"CS002992"</f>
        <v>CS002992</v>
      </c>
      <c r="L580" s="10" t="str">
        <f>"Sellick Partnership"</f>
        <v>Sellick Partnership</v>
      </c>
      <c r="M580" s="12" t="str">
        <f>"06/01/2017 00:00:00"</f>
        <v>06/01/2017 00:00:00</v>
      </c>
      <c r="N580" s="12">
        <v>42741</v>
      </c>
      <c r="O580" s="10" t="str">
        <f>"C007640"</f>
        <v>C007640</v>
      </c>
      <c r="P580" s="13">
        <v>5243.94</v>
      </c>
      <c r="Q580" s="11" t="str">
        <f>"5243.9400"</f>
        <v>5243.9400</v>
      </c>
      <c r="R580" s="10" t="str">
        <f>"C0004317"</f>
        <v>C0004317</v>
      </c>
      <c r="S580" s="14" t="str">
        <f>"10310.3900"</f>
        <v>10310.3900</v>
      </c>
      <c r="T580" s="10">
        <v>21723</v>
      </c>
      <c r="U580" s="10">
        <v>1161</v>
      </c>
      <c r="V580" s="10" t="str">
        <f>"Indirect employee expenses"</f>
        <v>Indirect employee expenses</v>
      </c>
      <c r="W580" s="10" t="str">
        <f>"Employees"</f>
        <v>Employees</v>
      </c>
      <c r="X580" s="10" t="str">
        <f>VLOOKUP(U580,'[1]Account code lookup'!A:B,2,0)</f>
        <v>Recruitment</v>
      </c>
      <c r="Z580" s="10" t="str">
        <f>"Regeneration and Housing"</f>
        <v>Regeneration and Housing</v>
      </c>
      <c r="AA580" s="10" t="str">
        <f>"Commercial Development"</f>
        <v>Commercial Development</v>
      </c>
      <c r="AB580" s="10" t="str">
        <f>"2cdb"</f>
        <v>2cdb</v>
      </c>
      <c r="AD580" s="10" t="str">
        <f>"cdb02"</f>
        <v>cdb02</v>
      </c>
      <c r="AE580" s="10" t="str">
        <f>"Regeneration &amp; Housing / Delivery Team"</f>
        <v>Regeneration &amp; Housing / Delivery Team</v>
      </c>
      <c r="AG580" s="10" t="str">
        <f>"21723/1161"</f>
        <v>21723/1161</v>
      </c>
      <c r="AI580" s="10" t="str">
        <f>"11emps"</f>
        <v>11emps</v>
      </c>
      <c r="AJ580" s="15" t="str">
        <f>"Permanent placement fee - Michael Peck_x000D_
(Facilities &amp; Estate Management)"</f>
        <v>Permanent placement fee - Michael Peck_x000D_
(Facilities &amp; Estate Management)</v>
      </c>
      <c r="AK580" s="10" t="str">
        <f t="shared" si="380"/>
        <v>Revenue</v>
      </c>
      <c r="AL580" s="10" t="str">
        <f>""</f>
        <v/>
      </c>
      <c r="AM580" s="10" t="str">
        <f>""</f>
        <v/>
      </c>
      <c r="AN580" s="10" t="str">
        <f>""</f>
        <v/>
      </c>
      <c r="AO580" s="10" t="str">
        <f>""</f>
        <v/>
      </c>
    </row>
    <row r="581" spans="1:41" s="10" customFormat="1" ht="409.6">
      <c r="A581" s="9"/>
      <c r="B581" s="9"/>
      <c r="C581" s="9"/>
      <c r="D581" s="10" t="str">
        <f>"29978"</f>
        <v>29978</v>
      </c>
      <c r="E581" s="11" t="str">
        <f>""</f>
        <v/>
      </c>
      <c r="F581" s="11" t="str">
        <f t="shared" si="381"/>
        <v>372418</v>
      </c>
      <c r="G581" s="11" t="str">
        <f t="shared" si="382"/>
        <v>2017toJAN</v>
      </c>
      <c r="H581" s="11" t="str">
        <f t="shared" si="383"/>
        <v>CRSP06B</v>
      </c>
      <c r="I581" s="11" t="str">
        <f t="shared" si="384"/>
        <v>34</v>
      </c>
      <c r="J581" s="11" t="str">
        <f t="shared" si="385"/>
        <v>Creditor</v>
      </c>
      <c r="K581" s="11" t="str">
        <f>"CS001467"</f>
        <v>CS001467</v>
      </c>
      <c r="L581" s="10" t="str">
        <f>"SMI Group"</f>
        <v>SMI Group</v>
      </c>
      <c r="M581" s="12" t="str">
        <f>"09/01/2017 00:00:00"</f>
        <v>09/01/2017 00:00:00</v>
      </c>
      <c r="N581" s="12">
        <v>42744</v>
      </c>
      <c r="O581" s="10" t="str">
        <f>"C007180"</f>
        <v>C007180</v>
      </c>
      <c r="P581" s="13">
        <v>55.45</v>
      </c>
      <c r="Q581" s="11" t="str">
        <f>"55.4500"</f>
        <v>55.4500</v>
      </c>
      <c r="R581" s="10" t="str">
        <f>"C0004334"</f>
        <v>C0004334</v>
      </c>
      <c r="S581" s="14" t="str">
        <f>"824.7000"</f>
        <v>824.7000</v>
      </c>
      <c r="T581" s="10">
        <v>21717</v>
      </c>
      <c r="U581" s="10">
        <v>1430</v>
      </c>
      <c r="V581" s="10" t="str">
        <f>"Clothes, uniform and laundry"</f>
        <v>Clothes, uniform and laundry</v>
      </c>
      <c r="W581" s="10" t="str">
        <f>"Supplies and Services"</f>
        <v>Supplies and Services</v>
      </c>
      <c r="X581" s="10" t="str">
        <f>VLOOKUP(U581,'[1]Account code lookup'!A:B,2,0)</f>
        <v>Protective Clothing Expenses</v>
      </c>
      <c r="Z581" s="10" t="str">
        <f>"Regeneration and Housing"</f>
        <v>Regeneration and Housing</v>
      </c>
      <c r="AA581" s="10" t="str">
        <f>"Commercial Development"</f>
        <v>Commercial Development</v>
      </c>
      <c r="AB581" s="10" t="str">
        <f>"2cdb"</f>
        <v>2cdb</v>
      </c>
      <c r="AD581" s="10" t="str">
        <f>"cdb02"</f>
        <v>cdb02</v>
      </c>
      <c r="AE581" s="10" t="str">
        <f>"Finance &amp; Procurement / Finance"</f>
        <v>Finance &amp; Procurement / Finance</v>
      </c>
      <c r="AG581" s="10" t="str">
        <f>"21717/1430"</f>
        <v>21717/1430</v>
      </c>
      <c r="AI581" s="10" t="str">
        <f>"14suse"</f>
        <v>14suse</v>
      </c>
      <c r="AJ581" s="15" t="str">
        <f>"BODICOTE HOUSEPPE Hi Vis coats x 3 code 3027Steve TurnerRichard BarrettMichael Peck"</f>
        <v>BODICOTE HOUSEPPE Hi Vis coats x 3 code 3027Steve TurnerRichard BarrettMichael Peck</v>
      </c>
      <c r="AK581" s="10" t="str">
        <f t="shared" si="380"/>
        <v>Revenue</v>
      </c>
      <c r="AL581" s="10" t="str">
        <f>""</f>
        <v/>
      </c>
      <c r="AM581" s="10" t="str">
        <f>""</f>
        <v/>
      </c>
      <c r="AN581" s="10" t="str">
        <f>""</f>
        <v/>
      </c>
      <c r="AO581" s="10" t="str">
        <f>""</f>
        <v/>
      </c>
    </row>
    <row r="582" spans="1:41" s="10" customFormat="1" ht="409.6">
      <c r="A582" s="9"/>
      <c r="B582" s="9"/>
      <c r="C582" s="9"/>
      <c r="D582" s="10" t="str">
        <f>"30317"</f>
        <v>30317</v>
      </c>
      <c r="E582" s="11" t="str">
        <f>""</f>
        <v/>
      </c>
      <c r="F582" s="11" t="str">
        <f t="shared" si="381"/>
        <v>372418</v>
      </c>
      <c r="G582" s="11" t="str">
        <f t="shared" si="382"/>
        <v>2017toJAN</v>
      </c>
      <c r="H582" s="11" t="str">
        <f t="shared" si="383"/>
        <v>CRSP06B</v>
      </c>
      <c r="I582" s="11" t="str">
        <f t="shared" si="384"/>
        <v>34</v>
      </c>
      <c r="J582" s="11" t="str">
        <f t="shared" si="385"/>
        <v>Creditor</v>
      </c>
      <c r="K582" s="11" t="str">
        <f>"CS001467"</f>
        <v>CS001467</v>
      </c>
      <c r="L582" s="10" t="str">
        <f>"SMI Group"</f>
        <v>SMI Group</v>
      </c>
      <c r="M582" s="12" t="str">
        <f>"09/01/2017 00:00:00"</f>
        <v>09/01/2017 00:00:00</v>
      </c>
      <c r="N582" s="12">
        <v>42744</v>
      </c>
      <c r="O582" s="10" t="str">
        <f>"C007741"</f>
        <v>C007741</v>
      </c>
      <c r="P582" s="13">
        <v>631.79999999999995</v>
      </c>
      <c r="Q582" s="11" t="str">
        <f>"631.8000"</f>
        <v>631.8000</v>
      </c>
      <c r="R582" s="10" t="str">
        <f>"C0004334"</f>
        <v>C0004334</v>
      </c>
      <c r="S582" s="14" t="str">
        <f>"824.7000"</f>
        <v>824.7000</v>
      </c>
      <c r="T582" s="10">
        <v>81426</v>
      </c>
      <c r="U582" s="10">
        <v>4608</v>
      </c>
      <c r="V582" s="10" t="str">
        <f>"Cash Payments"</f>
        <v>Cash Payments</v>
      </c>
      <c r="W582" s="10" t="str">
        <f>"Payments Made"</f>
        <v>Payments Made</v>
      </c>
      <c r="X582" s="10" t="str">
        <f>VLOOKUP(U582,'[1]Account code lookup'!A:B,2,0)</f>
        <v>Stores Purchases</v>
      </c>
      <c r="Z582" s="10" t="str">
        <f>"Inventories "</f>
        <v xml:space="preserve">Inventories </v>
      </c>
      <c r="AA582" s="10" t="str">
        <f>"Current Assets"</f>
        <v>Current Assets</v>
      </c>
      <c r="AB582" s="10" t="str">
        <f>"32cass"</f>
        <v>32cass</v>
      </c>
      <c r="AD582" s="10" t="str">
        <f>"4150"</f>
        <v>4150</v>
      </c>
      <c r="AE582" s="10" t="str">
        <f>"Finance &amp; Procurement / Head of Finance &amp; Procurement"</f>
        <v>Finance &amp; Procurement / Head of Finance &amp; Procurement</v>
      </c>
      <c r="AG582" s="10" t="str">
        <f>"81426/4608"</f>
        <v>81426/4608</v>
      </c>
      <c r="AI582" s="10" t="str">
        <f>"46pymts"</f>
        <v>46pymts</v>
      </c>
      <c r="AJ582" s="15" t="str">
        <f>"PPE Stores (Bicester )"</f>
        <v>PPE Stores (Bicester )</v>
      </c>
      <c r="AK582" s="10" t="str">
        <f>"Balance Sheet"</f>
        <v>Balance Sheet</v>
      </c>
      <c r="AL582" s="10" t="str">
        <f>""</f>
        <v/>
      </c>
      <c r="AM582" s="10" t="str">
        <f>""</f>
        <v/>
      </c>
      <c r="AN582" s="10" t="str">
        <f>""</f>
        <v/>
      </c>
      <c r="AO582" s="10" t="str">
        <f>""</f>
        <v/>
      </c>
    </row>
    <row r="583" spans="1:41" s="10" customFormat="1" ht="409.6">
      <c r="A583" s="9"/>
      <c r="B583" s="9"/>
      <c r="C583" s="9"/>
      <c r="D583" s="10" t="str">
        <f>"30469"</f>
        <v>30469</v>
      </c>
      <c r="E583" s="11" t="str">
        <f>""</f>
        <v/>
      </c>
      <c r="F583" s="11" t="str">
        <f t="shared" si="381"/>
        <v>372418</v>
      </c>
      <c r="G583" s="11" t="str">
        <f t="shared" si="382"/>
        <v>2017toJAN</v>
      </c>
      <c r="H583" s="11" t="str">
        <f t="shared" si="383"/>
        <v>CRSP06B</v>
      </c>
      <c r="I583" s="11" t="str">
        <f t="shared" si="384"/>
        <v>34</v>
      </c>
      <c r="J583" s="11" t="str">
        <f t="shared" si="385"/>
        <v>Creditor</v>
      </c>
      <c r="K583" s="11" t="str">
        <f>"CS001467"</f>
        <v>CS001467</v>
      </c>
      <c r="L583" s="10" t="str">
        <f>"SMI Group"</f>
        <v>SMI Group</v>
      </c>
      <c r="M583" s="12" t="str">
        <f>"16/01/2017 00:00:00"</f>
        <v>16/01/2017 00:00:00</v>
      </c>
      <c r="N583" s="12">
        <v>42751</v>
      </c>
      <c r="O583" s="10" t="str">
        <f>"C007891"</f>
        <v>C007891</v>
      </c>
      <c r="P583" s="13">
        <v>671.83</v>
      </c>
      <c r="Q583" s="11" t="str">
        <f>"671.8300"</f>
        <v>671.8300</v>
      </c>
      <c r="R583" s="10" t="str">
        <f>"C0004436"</f>
        <v>C0004436</v>
      </c>
      <c r="S583" s="14" t="str">
        <f>"806.1900"</f>
        <v>806.1900</v>
      </c>
      <c r="T583" s="10">
        <v>81426</v>
      </c>
      <c r="U583" s="10">
        <v>4608</v>
      </c>
      <c r="V583" s="10" t="str">
        <f>"Cash Payments"</f>
        <v>Cash Payments</v>
      </c>
      <c r="W583" s="10" t="str">
        <f>"Payments Made"</f>
        <v>Payments Made</v>
      </c>
      <c r="X583" s="10" t="str">
        <f>VLOOKUP(U583,'[1]Account code lookup'!A:B,2,0)</f>
        <v>Stores Purchases</v>
      </c>
      <c r="Z583" s="10" t="str">
        <f>"Inventories "</f>
        <v xml:space="preserve">Inventories </v>
      </c>
      <c r="AA583" s="10" t="str">
        <f>"Current Assets"</f>
        <v>Current Assets</v>
      </c>
      <c r="AB583" s="10" t="str">
        <f>"32cass"</f>
        <v>32cass</v>
      </c>
      <c r="AD583" s="10" t="str">
        <f>"4150"</f>
        <v>4150</v>
      </c>
      <c r="AE583" s="10" t="str">
        <f>"Finance &amp; Procurement / Head of Finance &amp; Procurement"</f>
        <v>Finance &amp; Procurement / Head of Finance &amp; Procurement</v>
      </c>
      <c r="AG583" s="10" t="str">
        <f>"81426/4608"</f>
        <v>81426/4608</v>
      </c>
      <c r="AI583" s="10" t="str">
        <f>"46pymts"</f>
        <v>46pymts</v>
      </c>
      <c r="AJ583" s="15" t="str">
        <f>"PPE Stores (Bicester )"</f>
        <v>PPE Stores (Bicester )</v>
      </c>
      <c r="AK583" s="10" t="str">
        <f>"Balance Sheet"</f>
        <v>Balance Sheet</v>
      </c>
      <c r="AL583" s="10" t="str">
        <f>""</f>
        <v/>
      </c>
      <c r="AM583" s="10" t="str">
        <f>""</f>
        <v/>
      </c>
      <c r="AN583" s="10" t="str">
        <f>""</f>
        <v/>
      </c>
      <c r="AO583" s="10" t="str">
        <f>""</f>
        <v/>
      </c>
    </row>
    <row r="584" spans="1:41" s="10" customFormat="1" ht="409.6">
      <c r="A584" s="9"/>
      <c r="B584" s="9"/>
      <c r="C584" s="9"/>
      <c r="D584" s="10" t="str">
        <f>"30892"</f>
        <v>30892</v>
      </c>
      <c r="E584" s="11" t="str">
        <f>""</f>
        <v/>
      </c>
      <c r="F584" s="11" t="str">
        <f t="shared" si="381"/>
        <v>372418</v>
      </c>
      <c r="G584" s="11" t="str">
        <f t="shared" si="382"/>
        <v>2017toJAN</v>
      </c>
      <c r="H584" s="11" t="str">
        <f t="shared" si="383"/>
        <v>CRSP06B</v>
      </c>
      <c r="I584" s="11" t="str">
        <f t="shared" si="384"/>
        <v>34</v>
      </c>
      <c r="J584" s="11" t="str">
        <f t="shared" si="385"/>
        <v>Creditor</v>
      </c>
      <c r="K584" s="11" t="str">
        <f t="shared" ref="K584:K642" si="386">"CS002345"</f>
        <v>CS002345</v>
      </c>
      <c r="L584" s="10" t="str">
        <f t="shared" ref="L584:L642" si="387">"SMS Environmental "</f>
        <v xml:space="preserve">SMS Environmental </v>
      </c>
      <c r="M584" s="12" t="str">
        <f t="shared" ref="M584:M592" si="388">"18/01/2017 00:00:00"</f>
        <v>18/01/2017 00:00:00</v>
      </c>
      <c r="N584" s="12">
        <v>42753</v>
      </c>
      <c r="O584" s="10" t="str">
        <f t="shared" ref="O584:O592" si="389">"C007937"</f>
        <v>C007937</v>
      </c>
      <c r="P584" s="13">
        <v>184.27</v>
      </c>
      <c r="Q584" s="11" t="str">
        <f>"184.2700"</f>
        <v>184.2700</v>
      </c>
      <c r="R584" s="10" t="str">
        <f t="shared" ref="R584:R592" si="390">"C0004486"</f>
        <v>C0004486</v>
      </c>
      <c r="S584" s="14" t="str">
        <f t="shared" ref="S584:S592" si="391">"1990.2000"</f>
        <v>1990.2000</v>
      </c>
      <c r="T584" s="10">
        <v>21714</v>
      </c>
      <c r="U584" s="10">
        <v>1200</v>
      </c>
      <c r="V584" s="10" t="str">
        <f t="shared" ref="V584:V642" si="392">"Repairs &amp; Maintenance"</f>
        <v>Repairs &amp; Maintenance</v>
      </c>
      <c r="W584" s="10" t="str">
        <f t="shared" ref="W584:W642" si="393">"Premises Related Expenditure"</f>
        <v>Premises Related Expenditure</v>
      </c>
      <c r="X584" s="10" t="str">
        <f>VLOOKUP(U584,'[1]Account code lookup'!A:B,2,0)</f>
        <v>Repair &amp; Maintenance</v>
      </c>
      <c r="Z584" s="10" t="str">
        <f t="shared" ref="Z584:Z642" si="394">"Regeneration and Housing"</f>
        <v>Regeneration and Housing</v>
      </c>
      <c r="AA584" s="10" t="str">
        <f t="shared" ref="AA584:AA642" si="395">"Commercial Development"</f>
        <v>Commercial Development</v>
      </c>
      <c r="AB584" s="10" t="str">
        <f t="shared" ref="AB584:AB642" si="396">"2cdb"</f>
        <v>2cdb</v>
      </c>
      <c r="AD584" s="10" t="str">
        <f t="shared" ref="AD584:AD642" si="397">"cdb02"</f>
        <v>cdb02</v>
      </c>
      <c r="AE584" s="10" t="str">
        <f t="shared" ref="AE584:AE642" si="398">"Finance &amp; Procurement / Finance"</f>
        <v>Finance &amp; Procurement / Finance</v>
      </c>
      <c r="AG584" s="10" t="str">
        <f>"21714/1200"</f>
        <v>21714/1200</v>
      </c>
      <c r="AI584" s="10" t="str">
        <f t="shared" ref="AI584:AI642" si="399">"12prem"</f>
        <v>12prem</v>
      </c>
      <c r="AJ584" s="15" t="str">
        <f>"THORPE LANE AND TRUCK WASHLegionella control programme May 16 - Aug 16"</f>
        <v>THORPE LANE AND TRUCK WASHLegionella control programme May 16 - Aug 16</v>
      </c>
      <c r="AK584" s="10" t="str">
        <f t="shared" ref="AK584:AK642" si="400">"Revenue"</f>
        <v>Revenue</v>
      </c>
      <c r="AL584" s="10" t="str">
        <f>""</f>
        <v/>
      </c>
      <c r="AM584" s="10" t="str">
        <f>""</f>
        <v/>
      </c>
      <c r="AN584" s="10" t="str">
        <f>""</f>
        <v/>
      </c>
      <c r="AO584" s="10" t="str">
        <f>""</f>
        <v/>
      </c>
    </row>
    <row r="585" spans="1:41" s="10" customFormat="1" ht="409.6">
      <c r="A585" s="9"/>
      <c r="B585" s="9"/>
      <c r="C585" s="9"/>
      <c r="D585" s="10" t="str">
        <f>"30893"</f>
        <v>30893</v>
      </c>
      <c r="E585" s="11" t="str">
        <f>""</f>
        <v/>
      </c>
      <c r="F585" s="11" t="str">
        <f t="shared" si="381"/>
        <v>372418</v>
      </c>
      <c r="G585" s="11" t="str">
        <f t="shared" si="382"/>
        <v>2017toJAN</v>
      </c>
      <c r="H585" s="11" t="str">
        <f t="shared" si="383"/>
        <v>CRSP06B</v>
      </c>
      <c r="I585" s="11" t="str">
        <f t="shared" si="384"/>
        <v>34</v>
      </c>
      <c r="J585" s="11" t="str">
        <f t="shared" si="385"/>
        <v>Creditor</v>
      </c>
      <c r="K585" s="11" t="str">
        <f t="shared" si="386"/>
        <v>CS002345</v>
      </c>
      <c r="L585" s="10" t="str">
        <f t="shared" si="387"/>
        <v xml:space="preserve">SMS Environmental </v>
      </c>
      <c r="M585" s="12" t="str">
        <f t="shared" si="388"/>
        <v>18/01/2017 00:00:00</v>
      </c>
      <c r="N585" s="12">
        <v>42753</v>
      </c>
      <c r="O585" s="10" t="str">
        <f t="shared" si="389"/>
        <v>C007937</v>
      </c>
      <c r="P585" s="13">
        <v>184.28</v>
      </c>
      <c r="Q585" s="11" t="str">
        <f t="shared" ref="Q585:Q591" si="401">"184.2800"</f>
        <v>184.2800</v>
      </c>
      <c r="R585" s="10" t="str">
        <f t="shared" si="390"/>
        <v>C0004486</v>
      </c>
      <c r="S585" s="14" t="str">
        <f t="shared" si="391"/>
        <v>1990.2000</v>
      </c>
      <c r="T585" s="10">
        <v>21715</v>
      </c>
      <c r="U585" s="10">
        <v>1200</v>
      </c>
      <c r="V585" s="10" t="str">
        <f t="shared" si="392"/>
        <v>Repairs &amp; Maintenance</v>
      </c>
      <c r="W585" s="10" t="str">
        <f t="shared" si="393"/>
        <v>Premises Related Expenditure</v>
      </c>
      <c r="X585" s="10" t="str">
        <f>VLOOKUP(U585,'[1]Account code lookup'!A:B,2,0)</f>
        <v>Repair &amp; Maintenance</v>
      </c>
      <c r="Z585" s="10" t="str">
        <f t="shared" si="394"/>
        <v>Regeneration and Housing</v>
      </c>
      <c r="AA585" s="10" t="str">
        <f t="shared" si="395"/>
        <v>Commercial Development</v>
      </c>
      <c r="AB585" s="10" t="str">
        <f t="shared" si="396"/>
        <v>2cdb</v>
      </c>
      <c r="AD585" s="10" t="str">
        <f t="shared" si="397"/>
        <v>cdb02</v>
      </c>
      <c r="AE585" s="10" t="str">
        <f t="shared" si="398"/>
        <v>Finance &amp; Procurement / Finance</v>
      </c>
      <c r="AG585" s="10" t="str">
        <f>"21715/1200"</f>
        <v>21715/1200</v>
      </c>
      <c r="AI585" s="10" t="str">
        <f t="shared" si="399"/>
        <v>12prem</v>
      </c>
      <c r="AJ585" s="15" t="str">
        <f>"HIGHFIELD DEPOTLegionella control programme May 16 - Aug 16"</f>
        <v>HIGHFIELD DEPOTLegionella control programme May 16 - Aug 16</v>
      </c>
      <c r="AK585" s="10" t="str">
        <f t="shared" si="400"/>
        <v>Revenue</v>
      </c>
      <c r="AL585" s="10" t="str">
        <f>""</f>
        <v/>
      </c>
      <c r="AM585" s="10" t="str">
        <f>""</f>
        <v/>
      </c>
      <c r="AN585" s="10" t="str">
        <f>""</f>
        <v/>
      </c>
      <c r="AO585" s="10" t="str">
        <f>""</f>
        <v/>
      </c>
    </row>
    <row r="586" spans="1:41" s="10" customFormat="1" ht="409.6">
      <c r="A586" s="9"/>
      <c r="B586" s="9"/>
      <c r="C586" s="9"/>
      <c r="D586" s="10" t="str">
        <f>"30894"</f>
        <v>30894</v>
      </c>
      <c r="E586" s="11" t="str">
        <f>""</f>
        <v/>
      </c>
      <c r="F586" s="11" t="str">
        <f t="shared" si="381"/>
        <v>372418</v>
      </c>
      <c r="G586" s="11" t="str">
        <f t="shared" si="382"/>
        <v>2017toJAN</v>
      </c>
      <c r="H586" s="11" t="str">
        <f t="shared" si="383"/>
        <v>CRSP06B</v>
      </c>
      <c r="I586" s="11" t="str">
        <f t="shared" si="384"/>
        <v>34</v>
      </c>
      <c r="J586" s="11" t="str">
        <f t="shared" si="385"/>
        <v>Creditor</v>
      </c>
      <c r="K586" s="11" t="str">
        <f t="shared" si="386"/>
        <v>CS002345</v>
      </c>
      <c r="L586" s="10" t="str">
        <f t="shared" si="387"/>
        <v xml:space="preserve">SMS Environmental </v>
      </c>
      <c r="M586" s="12" t="str">
        <f t="shared" si="388"/>
        <v>18/01/2017 00:00:00</v>
      </c>
      <c r="N586" s="12">
        <v>42753</v>
      </c>
      <c r="O586" s="10" t="str">
        <f t="shared" si="389"/>
        <v>C007937</v>
      </c>
      <c r="P586" s="13">
        <v>184.28</v>
      </c>
      <c r="Q586" s="11" t="str">
        <f t="shared" si="401"/>
        <v>184.2800</v>
      </c>
      <c r="R586" s="10" t="str">
        <f t="shared" si="390"/>
        <v>C0004486</v>
      </c>
      <c r="S586" s="14" t="str">
        <f t="shared" si="391"/>
        <v>1990.2000</v>
      </c>
      <c r="T586" s="10">
        <v>21717</v>
      </c>
      <c r="U586" s="10">
        <v>1200</v>
      </c>
      <c r="V586" s="10" t="str">
        <f t="shared" si="392"/>
        <v>Repairs &amp; Maintenance</v>
      </c>
      <c r="W586" s="10" t="str">
        <f t="shared" si="393"/>
        <v>Premises Related Expenditure</v>
      </c>
      <c r="X586" s="10" t="str">
        <f>VLOOKUP(U586,'[1]Account code lookup'!A:B,2,0)</f>
        <v>Repair &amp; Maintenance</v>
      </c>
      <c r="Z586" s="10" t="str">
        <f t="shared" si="394"/>
        <v>Regeneration and Housing</v>
      </c>
      <c r="AA586" s="10" t="str">
        <f t="shared" si="395"/>
        <v>Commercial Development</v>
      </c>
      <c r="AB586" s="10" t="str">
        <f t="shared" si="396"/>
        <v>2cdb</v>
      </c>
      <c r="AD586" s="10" t="str">
        <f t="shared" si="397"/>
        <v>cdb02</v>
      </c>
      <c r="AE586" s="10" t="str">
        <f t="shared" si="398"/>
        <v>Finance &amp; Procurement / Finance</v>
      </c>
      <c r="AG586" s="10" t="str">
        <f>"21717/1200"</f>
        <v>21717/1200</v>
      </c>
      <c r="AI586" s="10" t="str">
        <f t="shared" si="399"/>
        <v>12prem</v>
      </c>
      <c r="AJ586" s="15" t="str">
        <f>"BANBURY MUSEUM TICLegionella control programme May 16 - Aug 16"</f>
        <v>BANBURY MUSEUM TICLegionella control programme May 16 - Aug 16</v>
      </c>
      <c r="AK586" s="10" t="str">
        <f t="shared" si="400"/>
        <v>Revenue</v>
      </c>
      <c r="AL586" s="10" t="str">
        <f>""</f>
        <v/>
      </c>
      <c r="AM586" s="10" t="str">
        <f>""</f>
        <v/>
      </c>
      <c r="AN586" s="10" t="str">
        <f>""</f>
        <v/>
      </c>
      <c r="AO586" s="10" t="str">
        <f>""</f>
        <v/>
      </c>
    </row>
    <row r="587" spans="1:41" s="10" customFormat="1" ht="409.6">
      <c r="A587" s="9"/>
      <c r="B587" s="9"/>
      <c r="C587" s="9"/>
      <c r="D587" s="10" t="str">
        <f>"31098"</f>
        <v>31098</v>
      </c>
      <c r="E587" s="11" t="str">
        <f>""</f>
        <v/>
      </c>
      <c r="F587" s="11" t="str">
        <f t="shared" si="381"/>
        <v>372418</v>
      </c>
      <c r="G587" s="11" t="str">
        <f t="shared" si="382"/>
        <v>2017toJAN</v>
      </c>
      <c r="H587" s="11" t="str">
        <f t="shared" si="383"/>
        <v>CRSP06B</v>
      </c>
      <c r="I587" s="11" t="str">
        <f t="shared" si="384"/>
        <v>34</v>
      </c>
      <c r="J587" s="11" t="str">
        <f t="shared" si="385"/>
        <v>Creditor</v>
      </c>
      <c r="K587" s="11" t="str">
        <f t="shared" si="386"/>
        <v>CS002345</v>
      </c>
      <c r="L587" s="10" t="str">
        <f t="shared" si="387"/>
        <v xml:space="preserve">SMS Environmental </v>
      </c>
      <c r="M587" s="12" t="str">
        <f t="shared" si="388"/>
        <v>18/01/2017 00:00:00</v>
      </c>
      <c r="N587" s="12">
        <v>42753</v>
      </c>
      <c r="O587" s="10" t="str">
        <f t="shared" si="389"/>
        <v>C007937</v>
      </c>
      <c r="P587" s="13">
        <v>184.28</v>
      </c>
      <c r="Q587" s="11" t="str">
        <f t="shared" si="401"/>
        <v>184.2800</v>
      </c>
      <c r="R587" s="10" t="str">
        <f t="shared" si="390"/>
        <v>C0004486</v>
      </c>
      <c r="S587" s="14" t="str">
        <f t="shared" si="391"/>
        <v>1990.2000</v>
      </c>
      <c r="T587" s="10">
        <v>21717</v>
      </c>
      <c r="U587" s="10">
        <v>1200</v>
      </c>
      <c r="V587" s="10" t="str">
        <f t="shared" si="392"/>
        <v>Repairs &amp; Maintenance</v>
      </c>
      <c r="W587" s="10" t="str">
        <f t="shared" si="393"/>
        <v>Premises Related Expenditure</v>
      </c>
      <c r="X587" s="10" t="str">
        <f>VLOOKUP(U587,'[1]Account code lookup'!A:B,2,0)</f>
        <v>Repair &amp; Maintenance</v>
      </c>
      <c r="Z587" s="10" t="str">
        <f t="shared" si="394"/>
        <v>Regeneration and Housing</v>
      </c>
      <c r="AA587" s="10" t="str">
        <f t="shared" si="395"/>
        <v>Commercial Development</v>
      </c>
      <c r="AB587" s="10" t="str">
        <f t="shared" si="396"/>
        <v>2cdb</v>
      </c>
      <c r="AD587" s="10" t="str">
        <f t="shared" si="397"/>
        <v>cdb02</v>
      </c>
      <c r="AE587" s="10" t="str">
        <f t="shared" si="398"/>
        <v>Finance &amp; Procurement / Finance</v>
      </c>
      <c r="AG587" s="10" t="str">
        <f>"21717/1200"</f>
        <v>21717/1200</v>
      </c>
      <c r="AI587" s="10" t="str">
        <f t="shared" si="399"/>
        <v>12prem</v>
      </c>
      <c r="AJ587" s="15" t="str">
        <f>"BOCICOTE HOUSELegionella control programme May 16 - Aug 16"</f>
        <v>BOCICOTE HOUSELegionella control programme May 16 - Aug 16</v>
      </c>
      <c r="AK587" s="10" t="str">
        <f t="shared" si="400"/>
        <v>Revenue</v>
      </c>
      <c r="AL587" s="10" t="str">
        <f>""</f>
        <v/>
      </c>
      <c r="AM587" s="10" t="str">
        <f>""</f>
        <v/>
      </c>
      <c r="AN587" s="10" t="str">
        <f>""</f>
        <v/>
      </c>
      <c r="AO587" s="10" t="str">
        <f>""</f>
        <v/>
      </c>
    </row>
    <row r="588" spans="1:41" s="10" customFormat="1" ht="409.6">
      <c r="A588" s="9"/>
      <c r="B588" s="9"/>
      <c r="C588" s="9"/>
      <c r="D588" s="10" t="str">
        <f>"31925"</f>
        <v>31925</v>
      </c>
      <c r="E588" s="11" t="str">
        <f>""</f>
        <v/>
      </c>
      <c r="F588" s="11" t="str">
        <f t="shared" si="381"/>
        <v>372418</v>
      </c>
      <c r="G588" s="11" t="str">
        <f t="shared" si="382"/>
        <v>2017toJAN</v>
      </c>
      <c r="H588" s="11" t="str">
        <f t="shared" si="383"/>
        <v>CRSP06B</v>
      </c>
      <c r="I588" s="11" t="str">
        <f t="shared" si="384"/>
        <v>34</v>
      </c>
      <c r="J588" s="11" t="str">
        <f t="shared" si="385"/>
        <v>Creditor</v>
      </c>
      <c r="K588" s="11" t="str">
        <f t="shared" si="386"/>
        <v>CS002345</v>
      </c>
      <c r="L588" s="10" t="str">
        <f t="shared" si="387"/>
        <v xml:space="preserve">SMS Environmental </v>
      </c>
      <c r="M588" s="12" t="str">
        <f t="shared" si="388"/>
        <v>18/01/2017 00:00:00</v>
      </c>
      <c r="N588" s="12">
        <v>42753</v>
      </c>
      <c r="O588" s="10" t="str">
        <f t="shared" si="389"/>
        <v>C007937</v>
      </c>
      <c r="P588" s="13">
        <v>184.28</v>
      </c>
      <c r="Q588" s="11" t="str">
        <f t="shared" si="401"/>
        <v>184.2800</v>
      </c>
      <c r="R588" s="10" t="str">
        <f t="shared" si="390"/>
        <v>C0004486</v>
      </c>
      <c r="S588" s="14" t="str">
        <f t="shared" si="391"/>
        <v>1990.2000</v>
      </c>
      <c r="T588" s="10">
        <v>21717</v>
      </c>
      <c r="U588" s="10">
        <v>1200</v>
      </c>
      <c r="V588" s="10" t="str">
        <f t="shared" si="392"/>
        <v>Repairs &amp; Maintenance</v>
      </c>
      <c r="W588" s="10" t="str">
        <f t="shared" si="393"/>
        <v>Premises Related Expenditure</v>
      </c>
      <c r="X588" s="10" t="str">
        <f>VLOOKUP(U588,'[1]Account code lookup'!A:B,2,0)</f>
        <v>Repair &amp; Maintenance</v>
      </c>
      <c r="Z588" s="10" t="str">
        <f t="shared" si="394"/>
        <v>Regeneration and Housing</v>
      </c>
      <c r="AA588" s="10" t="str">
        <f t="shared" si="395"/>
        <v>Commercial Development</v>
      </c>
      <c r="AB588" s="10" t="str">
        <f t="shared" si="396"/>
        <v>2cdb</v>
      </c>
      <c r="AD588" s="10" t="str">
        <f t="shared" si="397"/>
        <v>cdb02</v>
      </c>
      <c r="AE588" s="10" t="str">
        <f t="shared" si="398"/>
        <v>Finance &amp; Procurement / Finance</v>
      </c>
      <c r="AG588" s="10" t="str">
        <f>"21717/1200"</f>
        <v>21717/1200</v>
      </c>
      <c r="AI588" s="10" t="str">
        <f t="shared" si="399"/>
        <v>12prem</v>
      </c>
      <c r="AJ588" s="15" t="str">
        <f>"BUS STATION PUBLIC TOILETSLegionella control programme May 16 - Aug 16"</f>
        <v>BUS STATION PUBLIC TOILETSLegionella control programme May 16 - Aug 16</v>
      </c>
      <c r="AK588" s="10" t="str">
        <f t="shared" si="400"/>
        <v>Revenue</v>
      </c>
      <c r="AL588" s="10" t="str">
        <f>""</f>
        <v/>
      </c>
      <c r="AM588" s="10" t="str">
        <f>""</f>
        <v/>
      </c>
      <c r="AN588" s="10" t="str">
        <f>""</f>
        <v/>
      </c>
      <c r="AO588" s="10" t="str">
        <f>""</f>
        <v/>
      </c>
    </row>
    <row r="589" spans="1:41" s="10" customFormat="1" ht="409.6">
      <c r="A589" s="9"/>
      <c r="B589" s="9"/>
      <c r="C589" s="9"/>
      <c r="D589" s="10" t="str">
        <f>"31926"</f>
        <v>31926</v>
      </c>
      <c r="E589" s="11" t="str">
        <f>""</f>
        <v/>
      </c>
      <c r="F589" s="11" t="str">
        <f t="shared" si="381"/>
        <v>372418</v>
      </c>
      <c r="G589" s="11" t="str">
        <f t="shared" si="382"/>
        <v>2017toJAN</v>
      </c>
      <c r="H589" s="11" t="str">
        <f t="shared" si="383"/>
        <v>CRSP06B</v>
      </c>
      <c r="I589" s="11" t="str">
        <f t="shared" si="384"/>
        <v>34</v>
      </c>
      <c r="J589" s="11" t="str">
        <f t="shared" si="385"/>
        <v>Creditor</v>
      </c>
      <c r="K589" s="11" t="str">
        <f t="shared" si="386"/>
        <v>CS002345</v>
      </c>
      <c r="L589" s="10" t="str">
        <f t="shared" si="387"/>
        <v xml:space="preserve">SMS Environmental </v>
      </c>
      <c r="M589" s="12" t="str">
        <f t="shared" si="388"/>
        <v>18/01/2017 00:00:00</v>
      </c>
      <c r="N589" s="12">
        <v>42753</v>
      </c>
      <c r="O589" s="10" t="str">
        <f t="shared" si="389"/>
        <v>C007937</v>
      </c>
      <c r="P589" s="13">
        <v>184.28</v>
      </c>
      <c r="Q589" s="11" t="str">
        <f t="shared" si="401"/>
        <v>184.2800</v>
      </c>
      <c r="R589" s="10" t="str">
        <f t="shared" si="390"/>
        <v>C0004486</v>
      </c>
      <c r="S589" s="14" t="str">
        <f t="shared" si="391"/>
        <v>1990.2000</v>
      </c>
      <c r="T589" s="10">
        <v>27038</v>
      </c>
      <c r="U589" s="10">
        <v>1200</v>
      </c>
      <c r="V589" s="10" t="str">
        <f t="shared" si="392"/>
        <v>Repairs &amp; Maintenance</v>
      </c>
      <c r="W589" s="10" t="str">
        <f t="shared" si="393"/>
        <v>Premises Related Expenditure</v>
      </c>
      <c r="X589" s="10" t="str">
        <f>VLOOKUP(U589,'[1]Account code lookup'!A:B,2,0)</f>
        <v>Repair &amp; Maintenance</v>
      </c>
      <c r="Z589" s="10" t="str">
        <f t="shared" si="394"/>
        <v>Regeneration and Housing</v>
      </c>
      <c r="AA589" s="10" t="str">
        <f t="shared" si="395"/>
        <v>Commercial Development</v>
      </c>
      <c r="AB589" s="10" t="str">
        <f t="shared" si="396"/>
        <v>2cdb</v>
      </c>
      <c r="AD589" s="10" t="str">
        <f t="shared" si="397"/>
        <v>cdb02</v>
      </c>
      <c r="AE589" s="10" t="str">
        <f t="shared" si="398"/>
        <v>Finance &amp; Procurement / Finance</v>
      </c>
      <c r="AG589" s="10" t="str">
        <f>"27038/1200"</f>
        <v>27038/1200</v>
      </c>
      <c r="AI589" s="10" t="str">
        <f t="shared" si="399"/>
        <v>12prem</v>
      </c>
      <c r="AJ589" s="15" t="str">
        <f>"BRIDGE STREET TOILETS  /CAR PARK WARDENS OFFICE  /CLAREMONT CAR PARK TOILETS  /CURTIS PLACE PUBLIC TOILETS  /HORSEFAIR PUBLIC TOILETS  /THE STREET SWEEPERS STORELegionella control programme May 16 - Aug 16"</f>
        <v>BRIDGE STREET TOILETS  /CAR PARK WARDENS OFFICE  /CLAREMONT CAR PARK TOILETS  /CURTIS PLACE PUBLIC TOILETS  /HORSEFAIR PUBLIC TOILETS  /THE STREET SWEEPERS STORELegionella control programme May 16 - Aug 16</v>
      </c>
      <c r="AK589" s="10" t="str">
        <f t="shared" si="400"/>
        <v>Revenue</v>
      </c>
      <c r="AL589" s="10" t="str">
        <f>""</f>
        <v/>
      </c>
      <c r="AM589" s="10" t="str">
        <f>""</f>
        <v/>
      </c>
      <c r="AN589" s="10" t="str">
        <f>""</f>
        <v/>
      </c>
      <c r="AO589" s="10" t="str">
        <f>""</f>
        <v/>
      </c>
    </row>
    <row r="590" spans="1:41" s="10" customFormat="1" ht="409.6">
      <c r="A590" s="9"/>
      <c r="B590" s="9"/>
      <c r="C590" s="9"/>
      <c r="D590" s="10" t="str">
        <f>"31927"</f>
        <v>31927</v>
      </c>
      <c r="E590" s="11" t="str">
        <f>""</f>
        <v/>
      </c>
      <c r="F590" s="11" t="str">
        <f t="shared" si="381"/>
        <v>372418</v>
      </c>
      <c r="G590" s="11" t="str">
        <f t="shared" si="382"/>
        <v>2017toJAN</v>
      </c>
      <c r="H590" s="11" t="str">
        <f t="shared" si="383"/>
        <v>CRSP06B</v>
      </c>
      <c r="I590" s="11" t="str">
        <f t="shared" si="384"/>
        <v>34</v>
      </c>
      <c r="J590" s="11" t="str">
        <f t="shared" si="385"/>
        <v>Creditor</v>
      </c>
      <c r="K590" s="11" t="str">
        <f t="shared" si="386"/>
        <v>CS002345</v>
      </c>
      <c r="L590" s="10" t="str">
        <f t="shared" si="387"/>
        <v xml:space="preserve">SMS Environmental </v>
      </c>
      <c r="M590" s="12" t="str">
        <f t="shared" si="388"/>
        <v>18/01/2017 00:00:00</v>
      </c>
      <c r="N590" s="12">
        <v>42753</v>
      </c>
      <c r="O590" s="10" t="str">
        <f t="shared" si="389"/>
        <v>C007937</v>
      </c>
      <c r="P590" s="13">
        <v>184.28</v>
      </c>
      <c r="Q590" s="11" t="str">
        <f t="shared" si="401"/>
        <v>184.2800</v>
      </c>
      <c r="R590" s="10" t="str">
        <f t="shared" si="390"/>
        <v>C0004486</v>
      </c>
      <c r="S590" s="14" t="str">
        <f t="shared" si="391"/>
        <v>1990.2000</v>
      </c>
      <c r="T590" s="10">
        <v>29508</v>
      </c>
      <c r="U590" s="10">
        <v>1200</v>
      </c>
      <c r="V590" s="10" t="str">
        <f t="shared" si="392"/>
        <v>Repairs &amp; Maintenance</v>
      </c>
      <c r="W590" s="10" t="str">
        <f t="shared" si="393"/>
        <v>Premises Related Expenditure</v>
      </c>
      <c r="X590" s="10" t="str">
        <f>VLOOKUP(U590,'[1]Account code lookup'!A:B,2,0)</f>
        <v>Repair &amp; Maintenance</v>
      </c>
      <c r="Z590" s="10" t="str">
        <f t="shared" si="394"/>
        <v>Regeneration and Housing</v>
      </c>
      <c r="AA590" s="10" t="str">
        <f t="shared" si="395"/>
        <v>Commercial Development</v>
      </c>
      <c r="AB590" s="10" t="str">
        <f t="shared" si="396"/>
        <v>2cdb</v>
      </c>
      <c r="AD590" s="10" t="str">
        <f t="shared" si="397"/>
        <v>cdb02</v>
      </c>
      <c r="AE590" s="10" t="str">
        <f t="shared" si="398"/>
        <v>Finance &amp; Procurement / Finance</v>
      </c>
      <c r="AG590" s="10" t="str">
        <f>"29508/1200"</f>
        <v>29508/1200</v>
      </c>
      <c r="AI590" s="10" t="str">
        <f t="shared" si="399"/>
        <v>12prem</v>
      </c>
      <c r="AJ590" s="15" t="str">
        <f>"DRAYTON PAVILLIONLegionella control programme May 16 - Aug 16"</f>
        <v>DRAYTON PAVILLIONLegionella control programme May 16 - Aug 16</v>
      </c>
      <c r="AK590" s="10" t="str">
        <f t="shared" si="400"/>
        <v>Revenue</v>
      </c>
      <c r="AL590" s="10" t="str">
        <f>""</f>
        <v/>
      </c>
      <c r="AM590" s="10" t="str">
        <f>""</f>
        <v/>
      </c>
      <c r="AN590" s="10" t="str">
        <f>""</f>
        <v/>
      </c>
      <c r="AO590" s="10" t="str">
        <f>""</f>
        <v/>
      </c>
    </row>
    <row r="591" spans="1:41" s="10" customFormat="1" ht="409.6">
      <c r="A591" s="9"/>
      <c r="B591" s="9"/>
      <c r="C591" s="9"/>
      <c r="D591" s="10" t="str">
        <f>"31928"</f>
        <v>31928</v>
      </c>
      <c r="E591" s="11" t="str">
        <f>""</f>
        <v/>
      </c>
      <c r="F591" s="11" t="str">
        <f t="shared" si="381"/>
        <v>372418</v>
      </c>
      <c r="G591" s="11" t="str">
        <f t="shared" si="382"/>
        <v>2017toJAN</v>
      </c>
      <c r="H591" s="11" t="str">
        <f t="shared" si="383"/>
        <v>CRSP06B</v>
      </c>
      <c r="I591" s="11" t="str">
        <f t="shared" si="384"/>
        <v>34</v>
      </c>
      <c r="J591" s="11" t="str">
        <f t="shared" si="385"/>
        <v>Creditor</v>
      </c>
      <c r="K591" s="11" t="str">
        <f t="shared" si="386"/>
        <v>CS002345</v>
      </c>
      <c r="L591" s="10" t="str">
        <f t="shared" si="387"/>
        <v xml:space="preserve">SMS Environmental </v>
      </c>
      <c r="M591" s="12" t="str">
        <f t="shared" si="388"/>
        <v>18/01/2017 00:00:00</v>
      </c>
      <c r="N591" s="12">
        <v>42753</v>
      </c>
      <c r="O591" s="10" t="str">
        <f t="shared" si="389"/>
        <v>C007937</v>
      </c>
      <c r="P591" s="13">
        <v>184.28</v>
      </c>
      <c r="Q591" s="11" t="str">
        <f t="shared" si="401"/>
        <v>184.2800</v>
      </c>
      <c r="R591" s="10" t="str">
        <f t="shared" si="390"/>
        <v>C0004486</v>
      </c>
      <c r="S591" s="14" t="str">
        <f t="shared" si="391"/>
        <v>1990.2000</v>
      </c>
      <c r="T591" s="10">
        <v>31012</v>
      </c>
      <c r="U591" s="10">
        <v>1200</v>
      </c>
      <c r="V591" s="10" t="str">
        <f t="shared" si="392"/>
        <v>Repairs &amp; Maintenance</v>
      </c>
      <c r="W591" s="10" t="str">
        <f t="shared" si="393"/>
        <v>Premises Related Expenditure</v>
      </c>
      <c r="X591" s="10" t="str">
        <f>VLOOKUP(U591,'[1]Account code lookup'!A:B,2,0)</f>
        <v>Repair &amp; Maintenance</v>
      </c>
      <c r="Z591" s="10" t="str">
        <f t="shared" si="394"/>
        <v>Regeneration and Housing</v>
      </c>
      <c r="AA591" s="10" t="str">
        <f t="shared" si="395"/>
        <v>Commercial Development</v>
      </c>
      <c r="AB591" s="10" t="str">
        <f t="shared" si="396"/>
        <v>2cdb</v>
      </c>
      <c r="AD591" s="10" t="str">
        <f t="shared" si="397"/>
        <v>cdb02</v>
      </c>
      <c r="AE591" s="10" t="str">
        <f t="shared" si="398"/>
        <v>Finance &amp; Procurement / Finance</v>
      </c>
      <c r="AG591" s="10" t="str">
        <f>"31012/1200"</f>
        <v>31012/1200</v>
      </c>
      <c r="AI591" s="10" t="str">
        <f t="shared" si="399"/>
        <v>12prem</v>
      </c>
      <c r="AJ591" s="15" t="str">
        <f>"BANBURY HEALTH CENTRELegionella control programme May 16 - Aug 16"</f>
        <v>BANBURY HEALTH CENTRELegionella control programme May 16 - Aug 16</v>
      </c>
      <c r="AK591" s="10" t="str">
        <f t="shared" si="400"/>
        <v>Revenue</v>
      </c>
      <c r="AL591" s="10" t="str">
        <f>""</f>
        <v/>
      </c>
      <c r="AM591" s="10" t="str">
        <f>""</f>
        <v/>
      </c>
      <c r="AN591" s="10" t="str">
        <f>""</f>
        <v/>
      </c>
      <c r="AO591" s="10" t="str">
        <f>""</f>
        <v/>
      </c>
    </row>
    <row r="592" spans="1:41" s="10" customFormat="1" ht="409.6">
      <c r="A592" s="9"/>
      <c r="B592" s="9"/>
      <c r="C592" s="9"/>
      <c r="D592" s="10" t="str">
        <f>"31929"</f>
        <v>31929</v>
      </c>
      <c r="E592" s="11" t="str">
        <f>""</f>
        <v/>
      </c>
      <c r="F592" s="11" t="str">
        <f t="shared" si="381"/>
        <v>372418</v>
      </c>
      <c r="G592" s="11" t="str">
        <f t="shared" si="382"/>
        <v>2017toJAN</v>
      </c>
      <c r="H592" s="11" t="str">
        <f t="shared" si="383"/>
        <v>CRSP06B</v>
      </c>
      <c r="I592" s="11" t="str">
        <f t="shared" si="384"/>
        <v>34</v>
      </c>
      <c r="J592" s="11" t="str">
        <f t="shared" si="385"/>
        <v>Creditor</v>
      </c>
      <c r="K592" s="11" t="str">
        <f t="shared" si="386"/>
        <v>CS002345</v>
      </c>
      <c r="L592" s="10" t="str">
        <f t="shared" si="387"/>
        <v xml:space="preserve">SMS Environmental </v>
      </c>
      <c r="M592" s="12" t="str">
        <f t="shared" si="388"/>
        <v>18/01/2017 00:00:00</v>
      </c>
      <c r="N592" s="12">
        <v>42753</v>
      </c>
      <c r="O592" s="10" t="str">
        <f t="shared" si="389"/>
        <v>C007937</v>
      </c>
      <c r="P592" s="13">
        <v>184.27</v>
      </c>
      <c r="Q592" s="11" t="str">
        <f>"184.2700"</f>
        <v>184.2700</v>
      </c>
      <c r="R592" s="10" t="str">
        <f t="shared" si="390"/>
        <v>C0004486</v>
      </c>
      <c r="S592" s="14" t="str">
        <f t="shared" si="391"/>
        <v>1990.2000</v>
      </c>
      <c r="T592" s="10">
        <v>31013</v>
      </c>
      <c r="U592" s="10">
        <v>1200</v>
      </c>
      <c r="V592" s="10" t="str">
        <f t="shared" si="392"/>
        <v>Repairs &amp; Maintenance</v>
      </c>
      <c r="W592" s="10" t="str">
        <f t="shared" si="393"/>
        <v>Premises Related Expenditure</v>
      </c>
      <c r="X592" s="10" t="str">
        <f>VLOOKUP(U592,'[1]Account code lookup'!A:B,2,0)</f>
        <v>Repair &amp; Maintenance</v>
      </c>
      <c r="Z592" s="10" t="str">
        <f t="shared" si="394"/>
        <v>Regeneration and Housing</v>
      </c>
      <c r="AA592" s="10" t="str">
        <f t="shared" si="395"/>
        <v>Commercial Development</v>
      </c>
      <c r="AB592" s="10" t="str">
        <f t="shared" si="396"/>
        <v>2cdb</v>
      </c>
      <c r="AD592" s="10" t="str">
        <f t="shared" si="397"/>
        <v>cdb02</v>
      </c>
      <c r="AE592" s="10" t="str">
        <f t="shared" si="398"/>
        <v>Finance &amp; Procurement / Finance</v>
      </c>
      <c r="AG592" s="10" t="str">
        <f>"31013/1200"</f>
        <v>31013/1200</v>
      </c>
      <c r="AI592" s="10" t="str">
        <f t="shared" si="399"/>
        <v>12prem</v>
      </c>
      <c r="AJ592" s="15" t="str">
        <f>"PIONEER SQLegionella control programme May 16 - Aug 16"</f>
        <v>PIONEER SQLegionella control programme May 16 - Aug 16</v>
      </c>
      <c r="AK592" s="10" t="str">
        <f t="shared" si="400"/>
        <v>Revenue</v>
      </c>
      <c r="AL592" s="10" t="str">
        <f>""</f>
        <v/>
      </c>
      <c r="AM592" s="10" t="str">
        <f>""</f>
        <v/>
      </c>
      <c r="AN592" s="10" t="str">
        <f>""</f>
        <v/>
      </c>
      <c r="AO592" s="10" t="str">
        <f>""</f>
        <v/>
      </c>
    </row>
    <row r="593" spans="1:41" s="10" customFormat="1" ht="409.6">
      <c r="A593" s="9"/>
      <c r="B593" s="9"/>
      <c r="C593" s="9"/>
      <c r="D593" s="10" t="str">
        <f>"31930"</f>
        <v>31930</v>
      </c>
      <c r="E593" s="11" t="str">
        <f>""</f>
        <v/>
      </c>
      <c r="F593" s="11" t="str">
        <f t="shared" si="381"/>
        <v>372418</v>
      </c>
      <c r="G593" s="11" t="str">
        <f t="shared" si="382"/>
        <v>2017toJAN</v>
      </c>
      <c r="H593" s="11" t="str">
        <f t="shared" si="383"/>
        <v>CRSP06B</v>
      </c>
      <c r="I593" s="11" t="str">
        <f t="shared" si="384"/>
        <v>34</v>
      </c>
      <c r="J593" s="11" t="str">
        <f t="shared" si="385"/>
        <v>Creditor</v>
      </c>
      <c r="K593" s="11" t="str">
        <f t="shared" si="386"/>
        <v>CS002345</v>
      </c>
      <c r="L593" s="10" t="str">
        <f t="shared" si="387"/>
        <v xml:space="preserve">SMS Environmental </v>
      </c>
      <c r="M593" s="12" t="str">
        <f t="shared" ref="M593:M612" si="402">"25/01/2017 00:00:00"</f>
        <v>25/01/2017 00:00:00</v>
      </c>
      <c r="N593" s="12">
        <v>42760</v>
      </c>
      <c r="O593" s="10" t="str">
        <f t="shared" ref="O593:O612" si="403">"C008093"</f>
        <v>C008093</v>
      </c>
      <c r="P593" s="13">
        <v>81</v>
      </c>
      <c r="Q593" s="11" t="str">
        <f>"81.0000"</f>
        <v>81.0000</v>
      </c>
      <c r="R593" s="10" t="str">
        <f t="shared" ref="R593:R612" si="404">"C0004566"</f>
        <v>C0004566</v>
      </c>
      <c r="S593" s="14" t="str">
        <f t="shared" ref="S593:S612" si="405">"1426.2000"</f>
        <v>1426.2000</v>
      </c>
      <c r="T593" s="10">
        <v>21714</v>
      </c>
      <c r="U593" s="10">
        <v>1200</v>
      </c>
      <c r="V593" s="10" t="str">
        <f t="shared" si="392"/>
        <v>Repairs &amp; Maintenance</v>
      </c>
      <c r="W593" s="10" t="str">
        <f t="shared" si="393"/>
        <v>Premises Related Expenditure</v>
      </c>
      <c r="X593" s="10" t="str">
        <f>VLOOKUP(U593,'[1]Account code lookup'!A:B,2,0)</f>
        <v>Repair &amp; Maintenance</v>
      </c>
      <c r="Z593" s="10" t="str">
        <f t="shared" si="394"/>
        <v>Regeneration and Housing</v>
      </c>
      <c r="AA593" s="10" t="str">
        <f t="shared" si="395"/>
        <v>Commercial Development</v>
      </c>
      <c r="AB593" s="10" t="str">
        <f t="shared" si="396"/>
        <v>2cdb</v>
      </c>
      <c r="AD593" s="10" t="str">
        <f t="shared" si="397"/>
        <v>cdb02</v>
      </c>
      <c r="AE593" s="10" t="str">
        <f t="shared" si="398"/>
        <v>Finance &amp; Procurement / Finance</v>
      </c>
      <c r="AG593" s="10" t="str">
        <f>"21714/1200"</f>
        <v>21714/1200</v>
      </c>
      <c r="AI593" s="10" t="str">
        <f t="shared" si="399"/>
        <v>12prem</v>
      </c>
      <c r="AJ593" s="15" t="str">
        <f>"THORPE LANE DEPOTLegionella Sampling"</f>
        <v>THORPE LANE DEPOTLegionella Sampling</v>
      </c>
      <c r="AK593" s="10" t="str">
        <f t="shared" si="400"/>
        <v>Revenue</v>
      </c>
      <c r="AL593" s="10" t="str">
        <f>""</f>
        <v/>
      </c>
      <c r="AM593" s="10" t="str">
        <f>""</f>
        <v/>
      </c>
      <c r="AN593" s="10" t="str">
        <f>""</f>
        <v/>
      </c>
      <c r="AO593" s="10" t="str">
        <f>""</f>
        <v/>
      </c>
    </row>
    <row r="594" spans="1:41" s="10" customFormat="1" ht="409.6">
      <c r="A594" s="9"/>
      <c r="B594" s="9"/>
      <c r="C594" s="9"/>
      <c r="D594" s="10" t="str">
        <f>"31931"</f>
        <v>31931</v>
      </c>
      <c r="E594" s="11" t="str">
        <f>""</f>
        <v/>
      </c>
      <c r="F594" s="11" t="str">
        <f t="shared" si="381"/>
        <v>372418</v>
      </c>
      <c r="G594" s="11" t="str">
        <f t="shared" si="382"/>
        <v>2017toJAN</v>
      </c>
      <c r="H594" s="11" t="str">
        <f t="shared" si="383"/>
        <v>CRSP06B</v>
      </c>
      <c r="I594" s="11" t="str">
        <f t="shared" si="384"/>
        <v>34</v>
      </c>
      <c r="J594" s="11" t="str">
        <f t="shared" si="385"/>
        <v>Creditor</v>
      </c>
      <c r="K594" s="11" t="str">
        <f t="shared" si="386"/>
        <v>CS002345</v>
      </c>
      <c r="L594" s="10" t="str">
        <f t="shared" si="387"/>
        <v xml:space="preserve">SMS Environmental </v>
      </c>
      <c r="M594" s="12" t="str">
        <f t="shared" si="402"/>
        <v>25/01/2017 00:00:00</v>
      </c>
      <c r="N594" s="12">
        <v>42760</v>
      </c>
      <c r="O594" s="10" t="str">
        <f t="shared" si="403"/>
        <v>C008093</v>
      </c>
      <c r="P594" s="13">
        <v>62.5</v>
      </c>
      <c r="Q594" s="11" t="str">
        <f>"62.5000"</f>
        <v>62.5000</v>
      </c>
      <c r="R594" s="10" t="str">
        <f t="shared" si="404"/>
        <v>C0004566</v>
      </c>
      <c r="S594" s="14" t="str">
        <f t="shared" si="405"/>
        <v>1426.2000</v>
      </c>
      <c r="T594" s="10">
        <v>21714</v>
      </c>
      <c r="U594" s="10">
        <v>1200</v>
      </c>
      <c r="V594" s="10" t="str">
        <f t="shared" si="392"/>
        <v>Repairs &amp; Maintenance</v>
      </c>
      <c r="W594" s="10" t="str">
        <f t="shared" si="393"/>
        <v>Premises Related Expenditure</v>
      </c>
      <c r="X594" s="10" t="str">
        <f>VLOOKUP(U594,'[1]Account code lookup'!A:B,2,0)</f>
        <v>Repair &amp; Maintenance</v>
      </c>
      <c r="Z594" s="10" t="str">
        <f t="shared" si="394"/>
        <v>Regeneration and Housing</v>
      </c>
      <c r="AA594" s="10" t="str">
        <f t="shared" si="395"/>
        <v>Commercial Development</v>
      </c>
      <c r="AB594" s="10" t="str">
        <f t="shared" si="396"/>
        <v>2cdb</v>
      </c>
      <c r="AD594" s="10" t="str">
        <f t="shared" si="397"/>
        <v>cdb02</v>
      </c>
      <c r="AE594" s="10" t="str">
        <f t="shared" si="398"/>
        <v>Finance &amp; Procurement / Finance</v>
      </c>
      <c r="AG594" s="10" t="str">
        <f>"21714/1200"</f>
        <v>21714/1200</v>
      </c>
      <c r="AI594" s="10" t="str">
        <f t="shared" si="399"/>
        <v>12prem</v>
      </c>
      <c r="AJ594" s="15" t="str">
        <f>"THORPE LANE DEPOTPseudomonas sampling"</f>
        <v>THORPE LANE DEPOTPseudomonas sampling</v>
      </c>
      <c r="AK594" s="10" t="str">
        <f t="shared" si="400"/>
        <v>Revenue</v>
      </c>
      <c r="AL594" s="10" t="str">
        <f>""</f>
        <v/>
      </c>
      <c r="AM594" s="10" t="str">
        <f>""</f>
        <v/>
      </c>
      <c r="AN594" s="10" t="str">
        <f>""</f>
        <v/>
      </c>
      <c r="AO594" s="10" t="str">
        <f>""</f>
        <v/>
      </c>
    </row>
    <row r="595" spans="1:41" s="10" customFormat="1" ht="409.6">
      <c r="A595" s="9"/>
      <c r="B595" s="9"/>
      <c r="C595" s="9"/>
      <c r="D595" s="10" t="str">
        <f>"31932"</f>
        <v>31932</v>
      </c>
      <c r="E595" s="11" t="str">
        <f>""</f>
        <v/>
      </c>
      <c r="F595" s="11" t="str">
        <f t="shared" si="381"/>
        <v>372418</v>
      </c>
      <c r="G595" s="11" t="str">
        <f t="shared" si="382"/>
        <v>2017toJAN</v>
      </c>
      <c r="H595" s="11" t="str">
        <f t="shared" si="383"/>
        <v>CRSP06B</v>
      </c>
      <c r="I595" s="11" t="str">
        <f t="shared" si="384"/>
        <v>34</v>
      </c>
      <c r="J595" s="11" t="str">
        <f t="shared" si="385"/>
        <v>Creditor</v>
      </c>
      <c r="K595" s="11" t="str">
        <f t="shared" si="386"/>
        <v>CS002345</v>
      </c>
      <c r="L595" s="10" t="str">
        <f t="shared" si="387"/>
        <v xml:space="preserve">SMS Environmental </v>
      </c>
      <c r="M595" s="12" t="str">
        <f t="shared" si="402"/>
        <v>25/01/2017 00:00:00</v>
      </c>
      <c r="N595" s="12">
        <v>42760</v>
      </c>
      <c r="O595" s="10" t="str">
        <f t="shared" si="403"/>
        <v>C008093</v>
      </c>
      <c r="P595" s="13">
        <v>60</v>
      </c>
      <c r="Q595" s="11" t="str">
        <f>"60.0000"</f>
        <v>60.0000</v>
      </c>
      <c r="R595" s="10" t="str">
        <f t="shared" si="404"/>
        <v>C0004566</v>
      </c>
      <c r="S595" s="14" t="str">
        <f t="shared" si="405"/>
        <v>1426.2000</v>
      </c>
      <c r="T595" s="10">
        <v>21714</v>
      </c>
      <c r="U595" s="10">
        <v>1200</v>
      </c>
      <c r="V595" s="10" t="str">
        <f t="shared" si="392"/>
        <v>Repairs &amp; Maintenance</v>
      </c>
      <c r="W595" s="10" t="str">
        <f t="shared" si="393"/>
        <v>Premises Related Expenditure</v>
      </c>
      <c r="X595" s="10" t="str">
        <f>VLOOKUP(U595,'[1]Account code lookup'!A:B,2,0)</f>
        <v>Repair &amp; Maintenance</v>
      </c>
      <c r="Z595" s="10" t="str">
        <f t="shared" si="394"/>
        <v>Regeneration and Housing</v>
      </c>
      <c r="AA595" s="10" t="str">
        <f t="shared" si="395"/>
        <v>Commercial Development</v>
      </c>
      <c r="AB595" s="10" t="str">
        <f t="shared" si="396"/>
        <v>2cdb</v>
      </c>
      <c r="AD595" s="10" t="str">
        <f t="shared" si="397"/>
        <v>cdb02</v>
      </c>
      <c r="AE595" s="10" t="str">
        <f t="shared" si="398"/>
        <v>Finance &amp; Procurement / Finance</v>
      </c>
      <c r="AG595" s="10" t="str">
        <f>"21714/1200"</f>
        <v>21714/1200</v>
      </c>
      <c r="AI595" s="10" t="str">
        <f t="shared" si="399"/>
        <v>12prem</v>
      </c>
      <c r="AJ595" s="15" t="str">
        <f>"THORPE LANE DEPOTTVC Samplingpd Sept 2016 - March 2017"</f>
        <v>THORPE LANE DEPOTTVC Samplingpd Sept 2016 - March 2017</v>
      </c>
      <c r="AK595" s="10" t="str">
        <f t="shared" si="400"/>
        <v>Revenue</v>
      </c>
      <c r="AL595" s="10" t="str">
        <f>""</f>
        <v/>
      </c>
      <c r="AM595" s="10" t="str">
        <f>""</f>
        <v/>
      </c>
      <c r="AN595" s="10" t="str">
        <f>""</f>
        <v/>
      </c>
      <c r="AO595" s="10" t="str">
        <f>""</f>
        <v/>
      </c>
    </row>
    <row r="596" spans="1:41" s="10" customFormat="1" ht="409.6">
      <c r="A596" s="9"/>
      <c r="B596" s="9"/>
      <c r="C596" s="9"/>
      <c r="D596" s="10" t="str">
        <f>"31933"</f>
        <v>31933</v>
      </c>
      <c r="E596" s="11" t="str">
        <f>""</f>
        <v/>
      </c>
      <c r="F596" s="11" t="str">
        <f t="shared" si="381"/>
        <v>372418</v>
      </c>
      <c r="G596" s="11" t="str">
        <f t="shared" si="382"/>
        <v>2017toJAN</v>
      </c>
      <c r="H596" s="11" t="str">
        <f t="shared" si="383"/>
        <v>CRSP06B</v>
      </c>
      <c r="I596" s="11" t="str">
        <f t="shared" si="384"/>
        <v>34</v>
      </c>
      <c r="J596" s="11" t="str">
        <f t="shared" si="385"/>
        <v>Creditor</v>
      </c>
      <c r="K596" s="11" t="str">
        <f t="shared" si="386"/>
        <v>CS002345</v>
      </c>
      <c r="L596" s="10" t="str">
        <f t="shared" si="387"/>
        <v xml:space="preserve">SMS Environmental </v>
      </c>
      <c r="M596" s="12" t="str">
        <f t="shared" si="402"/>
        <v>25/01/2017 00:00:00</v>
      </c>
      <c r="N596" s="12">
        <v>42760</v>
      </c>
      <c r="O596" s="10" t="str">
        <f t="shared" si="403"/>
        <v>C008093</v>
      </c>
      <c r="P596" s="13">
        <v>80</v>
      </c>
      <c r="Q596" s="11" t="str">
        <f>"80.0000"</f>
        <v>80.0000</v>
      </c>
      <c r="R596" s="10" t="str">
        <f t="shared" si="404"/>
        <v>C0004566</v>
      </c>
      <c r="S596" s="14" t="str">
        <f t="shared" si="405"/>
        <v>1426.2000</v>
      </c>
      <c r="T596" s="10">
        <v>21715</v>
      </c>
      <c r="U596" s="10">
        <v>1200</v>
      </c>
      <c r="V596" s="10" t="str">
        <f t="shared" si="392"/>
        <v>Repairs &amp; Maintenance</v>
      </c>
      <c r="W596" s="10" t="str">
        <f t="shared" si="393"/>
        <v>Premises Related Expenditure</v>
      </c>
      <c r="X596" s="10" t="str">
        <f>VLOOKUP(U596,'[1]Account code lookup'!A:B,2,0)</f>
        <v>Repair &amp; Maintenance</v>
      </c>
      <c r="Z596" s="10" t="str">
        <f t="shared" si="394"/>
        <v>Regeneration and Housing</v>
      </c>
      <c r="AA596" s="10" t="str">
        <f t="shared" si="395"/>
        <v>Commercial Development</v>
      </c>
      <c r="AB596" s="10" t="str">
        <f t="shared" si="396"/>
        <v>2cdb</v>
      </c>
      <c r="AD596" s="10" t="str">
        <f t="shared" si="397"/>
        <v>cdb02</v>
      </c>
      <c r="AE596" s="10" t="str">
        <f t="shared" si="398"/>
        <v>Finance &amp; Procurement / Finance</v>
      </c>
      <c r="AG596" s="10" t="str">
        <f>"21715/1200"</f>
        <v>21715/1200</v>
      </c>
      <c r="AI596" s="10" t="str">
        <f t="shared" si="399"/>
        <v>12prem</v>
      </c>
      <c r="AJ596" s="15" t="str">
        <f>"HIGHFIELD DEPOTTemp checkSept 2016 -  March 2017"</f>
        <v>HIGHFIELD DEPOTTemp checkSept 2016 -  March 2017</v>
      </c>
      <c r="AK596" s="10" t="str">
        <f t="shared" si="400"/>
        <v>Revenue</v>
      </c>
      <c r="AL596" s="10" t="str">
        <f>""</f>
        <v/>
      </c>
      <c r="AM596" s="10" t="str">
        <f>""</f>
        <v/>
      </c>
      <c r="AN596" s="10" t="str">
        <f>""</f>
        <v/>
      </c>
      <c r="AO596" s="10" t="str">
        <f>""</f>
        <v/>
      </c>
    </row>
    <row r="597" spans="1:41" s="10" customFormat="1" ht="409.6">
      <c r="A597" s="9"/>
      <c r="B597" s="9"/>
      <c r="C597" s="9"/>
      <c r="D597" s="10" t="str">
        <f>"31934"</f>
        <v>31934</v>
      </c>
      <c r="E597" s="11" t="str">
        <f>""</f>
        <v/>
      </c>
      <c r="F597" s="11" t="str">
        <f t="shared" si="381"/>
        <v>372418</v>
      </c>
      <c r="G597" s="11" t="str">
        <f t="shared" si="382"/>
        <v>2017toJAN</v>
      </c>
      <c r="H597" s="11" t="str">
        <f t="shared" si="383"/>
        <v>CRSP06B</v>
      </c>
      <c r="I597" s="11" t="str">
        <f t="shared" si="384"/>
        <v>34</v>
      </c>
      <c r="J597" s="11" t="str">
        <f t="shared" si="385"/>
        <v>Creditor</v>
      </c>
      <c r="K597" s="11" t="str">
        <f t="shared" si="386"/>
        <v>CS002345</v>
      </c>
      <c r="L597" s="10" t="str">
        <f t="shared" si="387"/>
        <v xml:space="preserve">SMS Environmental </v>
      </c>
      <c r="M597" s="12" t="str">
        <f t="shared" si="402"/>
        <v>25/01/2017 00:00:00</v>
      </c>
      <c r="N597" s="12">
        <v>42760</v>
      </c>
      <c r="O597" s="10" t="str">
        <f t="shared" si="403"/>
        <v>C008093</v>
      </c>
      <c r="P597" s="13">
        <v>105</v>
      </c>
      <c r="Q597" s="11" t="str">
        <f>"105.0000"</f>
        <v>105.0000</v>
      </c>
      <c r="R597" s="10" t="str">
        <f t="shared" si="404"/>
        <v>C0004566</v>
      </c>
      <c r="S597" s="14" t="str">
        <f t="shared" si="405"/>
        <v>1426.2000</v>
      </c>
      <c r="T597" s="10">
        <v>21717</v>
      </c>
      <c r="U597" s="10">
        <v>1200</v>
      </c>
      <c r="V597" s="10" t="str">
        <f t="shared" si="392"/>
        <v>Repairs &amp; Maintenance</v>
      </c>
      <c r="W597" s="10" t="str">
        <f t="shared" si="393"/>
        <v>Premises Related Expenditure</v>
      </c>
      <c r="X597" s="10" t="str">
        <f>VLOOKUP(U597,'[1]Account code lookup'!A:B,2,0)</f>
        <v>Repair &amp; Maintenance</v>
      </c>
      <c r="Z597" s="10" t="str">
        <f t="shared" si="394"/>
        <v>Regeneration and Housing</v>
      </c>
      <c r="AA597" s="10" t="str">
        <f t="shared" si="395"/>
        <v>Commercial Development</v>
      </c>
      <c r="AB597" s="10" t="str">
        <f t="shared" si="396"/>
        <v>2cdb</v>
      </c>
      <c r="AD597" s="10" t="str">
        <f t="shared" si="397"/>
        <v>cdb02</v>
      </c>
      <c r="AE597" s="10" t="str">
        <f t="shared" si="398"/>
        <v>Finance &amp; Procurement / Finance</v>
      </c>
      <c r="AG597" s="10" t="str">
        <f t="shared" ref="AG597:AG602" si="406">"21717/1200"</f>
        <v>21717/1200</v>
      </c>
      <c r="AI597" s="10" t="str">
        <f t="shared" si="399"/>
        <v>12prem</v>
      </c>
      <c r="AJ597" s="15" t="str">
        <f>"BANBURY MUSEUMRisk Assessment review"</f>
        <v>BANBURY MUSEUMRisk Assessment review</v>
      </c>
      <c r="AK597" s="10" t="str">
        <f t="shared" si="400"/>
        <v>Revenue</v>
      </c>
      <c r="AL597" s="10" t="str">
        <f>""</f>
        <v/>
      </c>
      <c r="AM597" s="10" t="str">
        <f>""</f>
        <v/>
      </c>
      <c r="AN597" s="10" t="str">
        <f>""</f>
        <v/>
      </c>
      <c r="AO597" s="10" t="str">
        <f>""</f>
        <v/>
      </c>
    </row>
    <row r="598" spans="1:41" s="10" customFormat="1" ht="409.6">
      <c r="A598" s="9"/>
      <c r="B598" s="9"/>
      <c r="C598" s="9"/>
      <c r="D598" s="10" t="str">
        <f>"31935"</f>
        <v>31935</v>
      </c>
      <c r="E598" s="11" t="str">
        <f>""</f>
        <v/>
      </c>
      <c r="F598" s="11" t="str">
        <f t="shared" si="381"/>
        <v>372418</v>
      </c>
      <c r="G598" s="11" t="str">
        <f t="shared" si="382"/>
        <v>2017toJAN</v>
      </c>
      <c r="H598" s="11" t="str">
        <f t="shared" si="383"/>
        <v>CRSP06B</v>
      </c>
      <c r="I598" s="11" t="str">
        <f t="shared" si="384"/>
        <v>34</v>
      </c>
      <c r="J598" s="11" t="str">
        <f t="shared" si="385"/>
        <v>Creditor</v>
      </c>
      <c r="K598" s="11" t="str">
        <f t="shared" si="386"/>
        <v>CS002345</v>
      </c>
      <c r="L598" s="10" t="str">
        <f t="shared" si="387"/>
        <v xml:space="preserve">SMS Environmental </v>
      </c>
      <c r="M598" s="12" t="str">
        <f t="shared" si="402"/>
        <v>25/01/2017 00:00:00</v>
      </c>
      <c r="N598" s="12">
        <v>42760</v>
      </c>
      <c r="O598" s="10" t="str">
        <f t="shared" si="403"/>
        <v>C008093</v>
      </c>
      <c r="P598" s="13">
        <v>25</v>
      </c>
      <c r="Q598" s="11" t="str">
        <f>"25.0000"</f>
        <v>25.0000</v>
      </c>
      <c r="R598" s="10" t="str">
        <f t="shared" si="404"/>
        <v>C0004566</v>
      </c>
      <c r="S598" s="14" t="str">
        <f t="shared" si="405"/>
        <v>1426.2000</v>
      </c>
      <c r="T598" s="10">
        <v>21717</v>
      </c>
      <c r="U598" s="10">
        <v>1200</v>
      </c>
      <c r="V598" s="10" t="str">
        <f t="shared" si="392"/>
        <v>Repairs &amp; Maintenance</v>
      </c>
      <c r="W598" s="10" t="str">
        <f t="shared" si="393"/>
        <v>Premises Related Expenditure</v>
      </c>
      <c r="X598" s="10" t="str">
        <f>VLOOKUP(U598,'[1]Account code lookup'!A:B,2,0)</f>
        <v>Repair &amp; Maintenance</v>
      </c>
      <c r="Z598" s="10" t="str">
        <f t="shared" si="394"/>
        <v>Regeneration and Housing</v>
      </c>
      <c r="AA598" s="10" t="str">
        <f t="shared" si="395"/>
        <v>Commercial Development</v>
      </c>
      <c r="AB598" s="10" t="str">
        <f t="shared" si="396"/>
        <v>2cdb</v>
      </c>
      <c r="AD598" s="10" t="str">
        <f t="shared" si="397"/>
        <v>cdb02</v>
      </c>
      <c r="AE598" s="10" t="str">
        <f t="shared" si="398"/>
        <v>Finance &amp; Procurement / Finance</v>
      </c>
      <c r="AG598" s="10" t="str">
        <f t="shared" si="406"/>
        <v>21717/1200</v>
      </c>
      <c r="AI598" s="10" t="str">
        <f t="shared" si="399"/>
        <v>12prem</v>
      </c>
      <c r="AJ598" s="15" t="str">
        <f>"BODICOTE HOUSECaloriier Drain check"</f>
        <v>BODICOTE HOUSECaloriier Drain check</v>
      </c>
      <c r="AK598" s="10" t="str">
        <f t="shared" si="400"/>
        <v>Revenue</v>
      </c>
      <c r="AL598" s="10" t="str">
        <f>""</f>
        <v/>
      </c>
      <c r="AM598" s="10" t="str">
        <f>""</f>
        <v/>
      </c>
      <c r="AN598" s="10" t="str">
        <f>""</f>
        <v/>
      </c>
      <c r="AO598" s="10" t="str">
        <f>""</f>
        <v/>
      </c>
    </row>
    <row r="599" spans="1:41" s="10" customFormat="1" ht="409.6">
      <c r="A599" s="9"/>
      <c r="B599" s="9"/>
      <c r="C599" s="9"/>
      <c r="D599" s="10" t="str">
        <f>"31936"</f>
        <v>31936</v>
      </c>
      <c r="E599" s="11" t="str">
        <f>""</f>
        <v/>
      </c>
      <c r="F599" s="11" t="str">
        <f t="shared" si="381"/>
        <v>372418</v>
      </c>
      <c r="G599" s="11" t="str">
        <f t="shared" si="382"/>
        <v>2017toJAN</v>
      </c>
      <c r="H599" s="11" t="str">
        <f t="shared" si="383"/>
        <v>CRSP06B</v>
      </c>
      <c r="I599" s="11" t="str">
        <f t="shared" si="384"/>
        <v>34</v>
      </c>
      <c r="J599" s="11" t="str">
        <f t="shared" si="385"/>
        <v>Creditor</v>
      </c>
      <c r="K599" s="11" t="str">
        <f t="shared" si="386"/>
        <v>CS002345</v>
      </c>
      <c r="L599" s="10" t="str">
        <f t="shared" si="387"/>
        <v xml:space="preserve">SMS Environmental </v>
      </c>
      <c r="M599" s="12" t="str">
        <f t="shared" si="402"/>
        <v>25/01/2017 00:00:00</v>
      </c>
      <c r="N599" s="12">
        <v>42760</v>
      </c>
      <c r="O599" s="10" t="str">
        <f t="shared" si="403"/>
        <v>C008093</v>
      </c>
      <c r="P599" s="13">
        <v>25</v>
      </c>
      <c r="Q599" s="11" t="str">
        <f>"25.0000"</f>
        <v>25.0000</v>
      </c>
      <c r="R599" s="10" t="str">
        <f t="shared" si="404"/>
        <v>C0004566</v>
      </c>
      <c r="S599" s="14" t="str">
        <f t="shared" si="405"/>
        <v>1426.2000</v>
      </c>
      <c r="T599" s="10">
        <v>21717</v>
      </c>
      <c r="U599" s="10">
        <v>1200</v>
      </c>
      <c r="V599" s="10" t="str">
        <f t="shared" si="392"/>
        <v>Repairs &amp; Maintenance</v>
      </c>
      <c r="W599" s="10" t="str">
        <f t="shared" si="393"/>
        <v>Premises Related Expenditure</v>
      </c>
      <c r="X599" s="10" t="str">
        <f>VLOOKUP(U599,'[1]Account code lookup'!A:B,2,0)</f>
        <v>Repair &amp; Maintenance</v>
      </c>
      <c r="Z599" s="10" t="str">
        <f t="shared" si="394"/>
        <v>Regeneration and Housing</v>
      </c>
      <c r="AA599" s="10" t="str">
        <f t="shared" si="395"/>
        <v>Commercial Development</v>
      </c>
      <c r="AB599" s="10" t="str">
        <f t="shared" si="396"/>
        <v>2cdb</v>
      </c>
      <c r="AD599" s="10" t="str">
        <f t="shared" si="397"/>
        <v>cdb02</v>
      </c>
      <c r="AE599" s="10" t="str">
        <f t="shared" si="398"/>
        <v>Finance &amp; Procurement / Finance</v>
      </c>
      <c r="AG599" s="10" t="str">
        <f t="shared" si="406"/>
        <v>21717/1200</v>
      </c>
      <c r="AI599" s="10" t="str">
        <f t="shared" si="399"/>
        <v>12prem</v>
      </c>
      <c r="AJ599" s="15" t="str">
        <f>"BODICOTE HOUSECWS Tank Inspection"</f>
        <v>BODICOTE HOUSECWS Tank Inspection</v>
      </c>
      <c r="AK599" s="10" t="str">
        <f t="shared" si="400"/>
        <v>Revenue</v>
      </c>
      <c r="AL599" s="10" t="str">
        <f>""</f>
        <v/>
      </c>
      <c r="AM599" s="10" t="str">
        <f>""</f>
        <v/>
      </c>
      <c r="AN599" s="10" t="str">
        <f>""</f>
        <v/>
      </c>
      <c r="AO599" s="10" t="str">
        <f>""</f>
        <v/>
      </c>
    </row>
    <row r="600" spans="1:41" s="10" customFormat="1" ht="409.6">
      <c r="A600" s="9"/>
      <c r="B600" s="9"/>
      <c r="C600" s="9"/>
      <c r="D600" s="10" t="str">
        <f>"31937"</f>
        <v>31937</v>
      </c>
      <c r="E600" s="11" t="str">
        <f>""</f>
        <v/>
      </c>
      <c r="F600" s="11" t="str">
        <f t="shared" si="381"/>
        <v>372418</v>
      </c>
      <c r="G600" s="11" t="str">
        <f t="shared" si="382"/>
        <v>2017toJAN</v>
      </c>
      <c r="H600" s="11" t="str">
        <f t="shared" si="383"/>
        <v>CRSP06B</v>
      </c>
      <c r="I600" s="11" t="str">
        <f t="shared" si="384"/>
        <v>34</v>
      </c>
      <c r="J600" s="11" t="str">
        <f t="shared" si="385"/>
        <v>Creditor</v>
      </c>
      <c r="K600" s="11" t="str">
        <f t="shared" si="386"/>
        <v>CS002345</v>
      </c>
      <c r="L600" s="10" t="str">
        <f t="shared" si="387"/>
        <v xml:space="preserve">SMS Environmental </v>
      </c>
      <c r="M600" s="12" t="str">
        <f t="shared" si="402"/>
        <v>25/01/2017 00:00:00</v>
      </c>
      <c r="N600" s="12">
        <v>42760</v>
      </c>
      <c r="O600" s="10" t="str">
        <f t="shared" si="403"/>
        <v>C008093</v>
      </c>
      <c r="P600" s="13">
        <v>20</v>
      </c>
      <c r="Q600" s="11" t="str">
        <f>"20.0000"</f>
        <v>20.0000</v>
      </c>
      <c r="R600" s="10" t="str">
        <f t="shared" si="404"/>
        <v>C0004566</v>
      </c>
      <c r="S600" s="14" t="str">
        <f t="shared" si="405"/>
        <v>1426.2000</v>
      </c>
      <c r="T600" s="10">
        <v>21717</v>
      </c>
      <c r="U600" s="10">
        <v>1200</v>
      </c>
      <c r="V600" s="10" t="str">
        <f t="shared" si="392"/>
        <v>Repairs &amp; Maintenance</v>
      </c>
      <c r="W600" s="10" t="str">
        <f t="shared" si="393"/>
        <v>Premises Related Expenditure</v>
      </c>
      <c r="X600" s="10" t="str">
        <f>VLOOKUP(U600,'[1]Account code lookup'!A:B,2,0)</f>
        <v>Repair &amp; Maintenance</v>
      </c>
      <c r="Z600" s="10" t="str">
        <f t="shared" si="394"/>
        <v>Regeneration and Housing</v>
      </c>
      <c r="AA600" s="10" t="str">
        <f t="shared" si="395"/>
        <v>Commercial Development</v>
      </c>
      <c r="AB600" s="10" t="str">
        <f t="shared" si="396"/>
        <v>2cdb</v>
      </c>
      <c r="AD600" s="10" t="str">
        <f t="shared" si="397"/>
        <v>cdb02</v>
      </c>
      <c r="AE600" s="10" t="str">
        <f t="shared" si="398"/>
        <v>Finance &amp; Procurement / Finance</v>
      </c>
      <c r="AG600" s="10" t="str">
        <f t="shared" si="406"/>
        <v>21717/1200</v>
      </c>
      <c r="AI600" s="10" t="str">
        <f t="shared" si="399"/>
        <v>12prem</v>
      </c>
      <c r="AJ600" s="15" t="str">
        <f>"BODICOTE HOUSEShower check"</f>
        <v>BODICOTE HOUSEShower check</v>
      </c>
      <c r="AK600" s="10" t="str">
        <f t="shared" si="400"/>
        <v>Revenue</v>
      </c>
      <c r="AL600" s="10" t="str">
        <f>""</f>
        <v/>
      </c>
      <c r="AM600" s="10" t="str">
        <f>""</f>
        <v/>
      </c>
      <c r="AN600" s="10" t="str">
        <f>""</f>
        <v/>
      </c>
      <c r="AO600" s="10" t="str">
        <f>""</f>
        <v/>
      </c>
    </row>
    <row r="601" spans="1:41" s="10" customFormat="1" ht="409.6">
      <c r="A601" s="9"/>
      <c r="B601" s="9"/>
      <c r="C601" s="9"/>
      <c r="D601" s="10" t="str">
        <f>"31938"</f>
        <v>31938</v>
      </c>
      <c r="E601" s="11" t="str">
        <f>""</f>
        <v/>
      </c>
      <c r="F601" s="11" t="str">
        <f t="shared" si="381"/>
        <v>372418</v>
      </c>
      <c r="G601" s="11" t="str">
        <f t="shared" si="382"/>
        <v>2017toJAN</v>
      </c>
      <c r="H601" s="11" t="str">
        <f t="shared" si="383"/>
        <v>CRSP06B</v>
      </c>
      <c r="I601" s="11" t="str">
        <f t="shared" si="384"/>
        <v>34</v>
      </c>
      <c r="J601" s="11" t="str">
        <f t="shared" si="385"/>
        <v>Creditor</v>
      </c>
      <c r="K601" s="11" t="str">
        <f t="shared" si="386"/>
        <v>CS002345</v>
      </c>
      <c r="L601" s="10" t="str">
        <f t="shared" si="387"/>
        <v xml:space="preserve">SMS Environmental </v>
      </c>
      <c r="M601" s="12" t="str">
        <f t="shared" si="402"/>
        <v>25/01/2017 00:00:00</v>
      </c>
      <c r="N601" s="12">
        <v>42760</v>
      </c>
      <c r="O601" s="10" t="str">
        <f t="shared" si="403"/>
        <v>C008093</v>
      </c>
      <c r="P601" s="13">
        <v>120</v>
      </c>
      <c r="Q601" s="11" t="str">
        <f>"120.0000"</f>
        <v>120.0000</v>
      </c>
      <c r="R601" s="10" t="str">
        <f t="shared" si="404"/>
        <v>C0004566</v>
      </c>
      <c r="S601" s="14" t="str">
        <f t="shared" si="405"/>
        <v>1426.2000</v>
      </c>
      <c r="T601" s="10">
        <v>21717</v>
      </c>
      <c r="U601" s="10">
        <v>1200</v>
      </c>
      <c r="V601" s="10" t="str">
        <f t="shared" si="392"/>
        <v>Repairs &amp; Maintenance</v>
      </c>
      <c r="W601" s="10" t="str">
        <f t="shared" si="393"/>
        <v>Premises Related Expenditure</v>
      </c>
      <c r="X601" s="10" t="str">
        <f>VLOOKUP(U601,'[1]Account code lookup'!A:B,2,0)</f>
        <v>Repair &amp; Maintenance</v>
      </c>
      <c r="Z601" s="10" t="str">
        <f t="shared" si="394"/>
        <v>Regeneration and Housing</v>
      </c>
      <c r="AA601" s="10" t="str">
        <f t="shared" si="395"/>
        <v>Commercial Development</v>
      </c>
      <c r="AB601" s="10" t="str">
        <f t="shared" si="396"/>
        <v>2cdb</v>
      </c>
      <c r="AD601" s="10" t="str">
        <f t="shared" si="397"/>
        <v>cdb02</v>
      </c>
      <c r="AE601" s="10" t="str">
        <f t="shared" si="398"/>
        <v>Finance &amp; Procurement / Finance</v>
      </c>
      <c r="AG601" s="10" t="str">
        <f t="shared" si="406"/>
        <v>21717/1200</v>
      </c>
      <c r="AI601" s="10" t="str">
        <f t="shared" si="399"/>
        <v>12prem</v>
      </c>
      <c r="AJ601" s="15" t="str">
        <f>"BODICOTE HOUSETemp check Pd Septt 2016 - March 2017"</f>
        <v>BODICOTE HOUSETemp check Pd Septt 2016 - March 2017</v>
      </c>
      <c r="AK601" s="10" t="str">
        <f t="shared" si="400"/>
        <v>Revenue</v>
      </c>
      <c r="AL601" s="10" t="str">
        <f>""</f>
        <v/>
      </c>
      <c r="AM601" s="10" t="str">
        <f>""</f>
        <v/>
      </c>
      <c r="AN601" s="10" t="str">
        <f>""</f>
        <v/>
      </c>
      <c r="AO601" s="10" t="str">
        <f>""</f>
        <v/>
      </c>
    </row>
    <row r="602" spans="1:41" s="10" customFormat="1" ht="409.6">
      <c r="A602" s="9"/>
      <c r="B602" s="9"/>
      <c r="C602" s="9"/>
      <c r="D602" s="10" t="str">
        <f>"31939"</f>
        <v>31939</v>
      </c>
      <c r="E602" s="11" t="str">
        <f>""</f>
        <v/>
      </c>
      <c r="F602" s="11" t="str">
        <f t="shared" si="381"/>
        <v>372418</v>
      </c>
      <c r="G602" s="11" t="str">
        <f t="shared" si="382"/>
        <v>2017toJAN</v>
      </c>
      <c r="H602" s="11" t="str">
        <f t="shared" si="383"/>
        <v>CRSP06B</v>
      </c>
      <c r="I602" s="11" t="str">
        <f t="shared" si="384"/>
        <v>34</v>
      </c>
      <c r="J602" s="11" t="str">
        <f t="shared" si="385"/>
        <v>Creditor</v>
      </c>
      <c r="K602" s="11" t="str">
        <f t="shared" si="386"/>
        <v>CS002345</v>
      </c>
      <c r="L602" s="10" t="str">
        <f t="shared" si="387"/>
        <v xml:space="preserve">SMS Environmental </v>
      </c>
      <c r="M602" s="12" t="str">
        <f t="shared" si="402"/>
        <v>25/01/2017 00:00:00</v>
      </c>
      <c r="N602" s="12">
        <v>42760</v>
      </c>
      <c r="O602" s="10" t="str">
        <f t="shared" si="403"/>
        <v>C008093</v>
      </c>
      <c r="P602" s="13">
        <v>85</v>
      </c>
      <c r="Q602" s="11" t="str">
        <f>"85.0000"</f>
        <v>85.0000</v>
      </c>
      <c r="R602" s="10" t="str">
        <f t="shared" si="404"/>
        <v>C0004566</v>
      </c>
      <c r="S602" s="14" t="str">
        <f t="shared" si="405"/>
        <v>1426.2000</v>
      </c>
      <c r="T602" s="10">
        <v>21717</v>
      </c>
      <c r="U602" s="10">
        <v>1200</v>
      </c>
      <c r="V602" s="10" t="str">
        <f t="shared" si="392"/>
        <v>Repairs &amp; Maintenance</v>
      </c>
      <c r="W602" s="10" t="str">
        <f t="shared" si="393"/>
        <v>Premises Related Expenditure</v>
      </c>
      <c r="X602" s="10" t="str">
        <f>VLOOKUP(U602,'[1]Account code lookup'!A:B,2,0)</f>
        <v>Repair &amp; Maintenance</v>
      </c>
      <c r="Z602" s="10" t="str">
        <f t="shared" si="394"/>
        <v>Regeneration and Housing</v>
      </c>
      <c r="AA602" s="10" t="str">
        <f t="shared" si="395"/>
        <v>Commercial Development</v>
      </c>
      <c r="AB602" s="10" t="str">
        <f t="shared" si="396"/>
        <v>2cdb</v>
      </c>
      <c r="AD602" s="10" t="str">
        <f t="shared" si="397"/>
        <v>cdb02</v>
      </c>
      <c r="AE602" s="10" t="str">
        <f t="shared" si="398"/>
        <v>Finance &amp; Procurement / Finance</v>
      </c>
      <c r="AG602" s="10" t="str">
        <f t="shared" si="406"/>
        <v>21717/1200</v>
      </c>
      <c r="AI602" s="10" t="str">
        <f t="shared" si="399"/>
        <v>12prem</v>
      </c>
      <c r="AJ602" s="15" t="str">
        <f>"OLD BODICOTE HOUSEtemp check - Sept 2016 - March 2017"</f>
        <v>OLD BODICOTE HOUSEtemp check - Sept 2016 - March 2017</v>
      </c>
      <c r="AK602" s="10" t="str">
        <f t="shared" si="400"/>
        <v>Revenue</v>
      </c>
      <c r="AL602" s="10" t="str">
        <f>""</f>
        <v/>
      </c>
      <c r="AM602" s="10" t="str">
        <f>""</f>
        <v/>
      </c>
      <c r="AN602" s="10" t="str">
        <f>""</f>
        <v/>
      </c>
      <c r="AO602" s="10" t="str">
        <f>""</f>
        <v/>
      </c>
    </row>
    <row r="603" spans="1:41" s="10" customFormat="1" ht="409.6">
      <c r="A603" s="9"/>
      <c r="B603" s="9"/>
      <c r="C603" s="9"/>
      <c r="D603" s="10" t="str">
        <f>"31940"</f>
        <v>31940</v>
      </c>
      <c r="E603" s="11" t="str">
        <f>""</f>
        <v/>
      </c>
      <c r="F603" s="11" t="str">
        <f t="shared" si="381"/>
        <v>372418</v>
      </c>
      <c r="G603" s="11" t="str">
        <f t="shared" si="382"/>
        <v>2017toJAN</v>
      </c>
      <c r="H603" s="11" t="str">
        <f t="shared" si="383"/>
        <v>CRSP06B</v>
      </c>
      <c r="I603" s="11" t="str">
        <f t="shared" si="384"/>
        <v>34</v>
      </c>
      <c r="J603" s="11" t="str">
        <f t="shared" si="385"/>
        <v>Creditor</v>
      </c>
      <c r="K603" s="11" t="str">
        <f t="shared" si="386"/>
        <v>CS002345</v>
      </c>
      <c r="L603" s="10" t="str">
        <f t="shared" si="387"/>
        <v xml:space="preserve">SMS Environmental </v>
      </c>
      <c r="M603" s="12" t="str">
        <f t="shared" si="402"/>
        <v>25/01/2017 00:00:00</v>
      </c>
      <c r="N603" s="12">
        <v>42760</v>
      </c>
      <c r="O603" s="10" t="str">
        <f t="shared" si="403"/>
        <v>C008093</v>
      </c>
      <c r="P603" s="13">
        <v>60</v>
      </c>
      <c r="Q603" s="11" t="str">
        <f>"60.0000"</f>
        <v>60.0000</v>
      </c>
      <c r="R603" s="10" t="str">
        <f t="shared" si="404"/>
        <v>C0004566</v>
      </c>
      <c r="S603" s="14" t="str">
        <f t="shared" si="405"/>
        <v>1426.2000</v>
      </c>
      <c r="T603" s="10">
        <v>27038</v>
      </c>
      <c r="U603" s="10">
        <v>1200</v>
      </c>
      <c r="V603" s="10" t="str">
        <f t="shared" si="392"/>
        <v>Repairs &amp; Maintenance</v>
      </c>
      <c r="W603" s="10" t="str">
        <f t="shared" si="393"/>
        <v>Premises Related Expenditure</v>
      </c>
      <c r="X603" s="10" t="str">
        <f>VLOOKUP(U603,'[1]Account code lookup'!A:B,2,0)</f>
        <v>Repair &amp; Maintenance</v>
      </c>
      <c r="Z603" s="10" t="str">
        <f t="shared" si="394"/>
        <v>Regeneration and Housing</v>
      </c>
      <c r="AA603" s="10" t="str">
        <f t="shared" si="395"/>
        <v>Commercial Development</v>
      </c>
      <c r="AB603" s="10" t="str">
        <f t="shared" si="396"/>
        <v>2cdb</v>
      </c>
      <c r="AD603" s="10" t="str">
        <f t="shared" si="397"/>
        <v>cdb02</v>
      </c>
      <c r="AE603" s="10" t="str">
        <f t="shared" si="398"/>
        <v>Finance &amp; Procurement / Finance</v>
      </c>
      <c r="AG603" s="10" t="str">
        <f>"27038/1200"</f>
        <v>27038/1200</v>
      </c>
      <c r="AI603" s="10" t="str">
        <f t="shared" si="399"/>
        <v>12prem</v>
      </c>
      <c r="AJ603" s="15" t="str">
        <f>"BRIDGE STREET PUBLIC TOILETSTemp checks Sept 2016 until March 2017"</f>
        <v>BRIDGE STREET PUBLIC TOILETSTemp checks Sept 2016 until March 2017</v>
      </c>
      <c r="AK603" s="10" t="str">
        <f t="shared" si="400"/>
        <v>Revenue</v>
      </c>
      <c r="AL603" s="10" t="str">
        <f>""</f>
        <v/>
      </c>
      <c r="AM603" s="10" t="str">
        <f>""</f>
        <v/>
      </c>
      <c r="AN603" s="10" t="str">
        <f>""</f>
        <v/>
      </c>
      <c r="AO603" s="10" t="str">
        <f>""</f>
        <v/>
      </c>
    </row>
    <row r="604" spans="1:41" s="10" customFormat="1" ht="409.6">
      <c r="A604" s="9"/>
      <c r="B604" s="9"/>
      <c r="C604" s="9"/>
      <c r="D604" s="10" t="str">
        <f>"31941"</f>
        <v>31941</v>
      </c>
      <c r="E604" s="11" t="str">
        <f>""</f>
        <v/>
      </c>
      <c r="F604" s="11" t="str">
        <f t="shared" si="381"/>
        <v>372418</v>
      </c>
      <c r="G604" s="11" t="str">
        <f t="shared" si="382"/>
        <v>2017toJAN</v>
      </c>
      <c r="H604" s="11" t="str">
        <f t="shared" si="383"/>
        <v>CRSP06B</v>
      </c>
      <c r="I604" s="11" t="str">
        <f t="shared" si="384"/>
        <v>34</v>
      </c>
      <c r="J604" s="11" t="str">
        <f t="shared" si="385"/>
        <v>Creditor</v>
      </c>
      <c r="K604" s="11" t="str">
        <f t="shared" si="386"/>
        <v>CS002345</v>
      </c>
      <c r="L604" s="10" t="str">
        <f t="shared" si="387"/>
        <v xml:space="preserve">SMS Environmental </v>
      </c>
      <c r="M604" s="12" t="str">
        <f t="shared" si="402"/>
        <v>25/01/2017 00:00:00</v>
      </c>
      <c r="N604" s="12">
        <v>42760</v>
      </c>
      <c r="O604" s="10" t="str">
        <f t="shared" si="403"/>
        <v>C008093</v>
      </c>
      <c r="P604" s="13">
        <v>60</v>
      </c>
      <c r="Q604" s="11" t="str">
        <f>"60.0000"</f>
        <v>60.0000</v>
      </c>
      <c r="R604" s="10" t="str">
        <f t="shared" si="404"/>
        <v>C0004566</v>
      </c>
      <c r="S604" s="14" t="str">
        <f t="shared" si="405"/>
        <v>1426.2000</v>
      </c>
      <c r="T604" s="10">
        <v>27038</v>
      </c>
      <c r="U604" s="10">
        <v>1200</v>
      </c>
      <c r="V604" s="10" t="str">
        <f t="shared" si="392"/>
        <v>Repairs &amp; Maintenance</v>
      </c>
      <c r="W604" s="10" t="str">
        <f t="shared" si="393"/>
        <v>Premises Related Expenditure</v>
      </c>
      <c r="X604" s="10" t="str">
        <f>VLOOKUP(U604,'[1]Account code lookup'!A:B,2,0)</f>
        <v>Repair &amp; Maintenance</v>
      </c>
      <c r="Z604" s="10" t="str">
        <f t="shared" si="394"/>
        <v>Regeneration and Housing</v>
      </c>
      <c r="AA604" s="10" t="str">
        <f t="shared" si="395"/>
        <v>Commercial Development</v>
      </c>
      <c r="AB604" s="10" t="str">
        <f t="shared" si="396"/>
        <v>2cdb</v>
      </c>
      <c r="AD604" s="10" t="str">
        <f t="shared" si="397"/>
        <v>cdb02</v>
      </c>
      <c r="AE604" s="10" t="str">
        <f t="shared" si="398"/>
        <v>Finance &amp; Procurement / Finance</v>
      </c>
      <c r="AG604" s="10" t="str">
        <f>"27038/1200"</f>
        <v>27038/1200</v>
      </c>
      <c r="AI604" s="10" t="str">
        <f t="shared" si="399"/>
        <v>12prem</v>
      </c>
      <c r="AJ604" s="15" t="str">
        <f>"BUS STATION PUBLIC TOILETSTemp checks Sept 2016 until March 2017"</f>
        <v>BUS STATION PUBLIC TOILETSTemp checks Sept 2016 until March 2017</v>
      </c>
      <c r="AK604" s="10" t="str">
        <f t="shared" si="400"/>
        <v>Revenue</v>
      </c>
      <c r="AL604" s="10" t="str">
        <f>""</f>
        <v/>
      </c>
      <c r="AM604" s="10" t="str">
        <f>""</f>
        <v/>
      </c>
      <c r="AN604" s="10" t="str">
        <f>""</f>
        <v/>
      </c>
      <c r="AO604" s="10" t="str">
        <f>""</f>
        <v/>
      </c>
    </row>
    <row r="605" spans="1:41" s="10" customFormat="1" ht="409.6">
      <c r="A605" s="9"/>
      <c r="B605" s="9"/>
      <c r="C605" s="9"/>
      <c r="D605" s="10" t="str">
        <f>"31942"</f>
        <v>31942</v>
      </c>
      <c r="E605" s="11" t="str">
        <f>""</f>
        <v/>
      </c>
      <c r="F605" s="11" t="str">
        <f t="shared" si="381"/>
        <v>372418</v>
      </c>
      <c r="G605" s="11" t="str">
        <f t="shared" si="382"/>
        <v>2017toJAN</v>
      </c>
      <c r="H605" s="11" t="str">
        <f t="shared" si="383"/>
        <v>CRSP06B</v>
      </c>
      <c r="I605" s="11" t="str">
        <f t="shared" si="384"/>
        <v>34</v>
      </c>
      <c r="J605" s="11" t="str">
        <f t="shared" si="385"/>
        <v>Creditor</v>
      </c>
      <c r="K605" s="11" t="str">
        <f t="shared" si="386"/>
        <v>CS002345</v>
      </c>
      <c r="L605" s="10" t="str">
        <f t="shared" si="387"/>
        <v xml:space="preserve">SMS Environmental </v>
      </c>
      <c r="M605" s="12" t="str">
        <f t="shared" si="402"/>
        <v>25/01/2017 00:00:00</v>
      </c>
      <c r="N605" s="12">
        <v>42760</v>
      </c>
      <c r="O605" s="10" t="str">
        <f t="shared" si="403"/>
        <v>C008093</v>
      </c>
      <c r="P605" s="13">
        <v>60</v>
      </c>
      <c r="Q605" s="11" t="str">
        <f>"60.0000"</f>
        <v>60.0000</v>
      </c>
      <c r="R605" s="10" t="str">
        <f t="shared" si="404"/>
        <v>C0004566</v>
      </c>
      <c r="S605" s="14" t="str">
        <f t="shared" si="405"/>
        <v>1426.2000</v>
      </c>
      <c r="T605" s="10">
        <v>27038</v>
      </c>
      <c r="U605" s="10">
        <v>1200</v>
      </c>
      <c r="V605" s="10" t="str">
        <f t="shared" si="392"/>
        <v>Repairs &amp; Maintenance</v>
      </c>
      <c r="W605" s="10" t="str">
        <f t="shared" si="393"/>
        <v>Premises Related Expenditure</v>
      </c>
      <c r="X605" s="10" t="str">
        <f>VLOOKUP(U605,'[1]Account code lookup'!A:B,2,0)</f>
        <v>Repair &amp; Maintenance</v>
      </c>
      <c r="Z605" s="10" t="str">
        <f t="shared" si="394"/>
        <v>Regeneration and Housing</v>
      </c>
      <c r="AA605" s="10" t="str">
        <f t="shared" si="395"/>
        <v>Commercial Development</v>
      </c>
      <c r="AB605" s="10" t="str">
        <f t="shared" si="396"/>
        <v>2cdb</v>
      </c>
      <c r="AD605" s="10" t="str">
        <f t="shared" si="397"/>
        <v>cdb02</v>
      </c>
      <c r="AE605" s="10" t="str">
        <f t="shared" si="398"/>
        <v>Finance &amp; Procurement / Finance</v>
      </c>
      <c r="AG605" s="10" t="str">
        <f>"27038/1200"</f>
        <v>27038/1200</v>
      </c>
      <c r="AI605" s="10" t="str">
        <f t="shared" si="399"/>
        <v>12prem</v>
      </c>
      <c r="AJ605" s="15" t="str">
        <f>"CLAREMONT PUBLIC TOILETSTemp checks Sept 2016 until March 2017"</f>
        <v>CLAREMONT PUBLIC TOILETSTemp checks Sept 2016 until March 2017</v>
      </c>
      <c r="AK605" s="10" t="str">
        <f t="shared" si="400"/>
        <v>Revenue</v>
      </c>
      <c r="AL605" s="10" t="str">
        <f>""</f>
        <v/>
      </c>
      <c r="AM605" s="10" t="str">
        <f>""</f>
        <v/>
      </c>
      <c r="AN605" s="10" t="str">
        <f>""</f>
        <v/>
      </c>
      <c r="AO605" s="10" t="str">
        <f>""</f>
        <v/>
      </c>
    </row>
    <row r="606" spans="1:41" s="10" customFormat="1" ht="409.6">
      <c r="A606" s="9"/>
      <c r="B606" s="9"/>
      <c r="C606" s="9"/>
      <c r="D606" s="10" t="str">
        <f>"31943"</f>
        <v>31943</v>
      </c>
      <c r="E606" s="11" t="str">
        <f>""</f>
        <v/>
      </c>
      <c r="F606" s="11" t="str">
        <f t="shared" si="381"/>
        <v>372418</v>
      </c>
      <c r="G606" s="11" t="str">
        <f t="shared" si="382"/>
        <v>2017toJAN</v>
      </c>
      <c r="H606" s="11" t="str">
        <f t="shared" si="383"/>
        <v>CRSP06B</v>
      </c>
      <c r="I606" s="11" t="str">
        <f t="shared" si="384"/>
        <v>34</v>
      </c>
      <c r="J606" s="11" t="str">
        <f t="shared" si="385"/>
        <v>Creditor</v>
      </c>
      <c r="K606" s="11" t="str">
        <f t="shared" si="386"/>
        <v>CS002345</v>
      </c>
      <c r="L606" s="10" t="str">
        <f t="shared" si="387"/>
        <v xml:space="preserve">SMS Environmental </v>
      </c>
      <c r="M606" s="12" t="str">
        <f t="shared" si="402"/>
        <v>25/01/2017 00:00:00</v>
      </c>
      <c r="N606" s="12">
        <v>42760</v>
      </c>
      <c r="O606" s="10" t="str">
        <f t="shared" si="403"/>
        <v>C008093</v>
      </c>
      <c r="P606" s="13">
        <v>60</v>
      </c>
      <c r="Q606" s="11" t="str">
        <f>"60.0000"</f>
        <v>60.0000</v>
      </c>
      <c r="R606" s="10" t="str">
        <f t="shared" si="404"/>
        <v>C0004566</v>
      </c>
      <c r="S606" s="14" t="str">
        <f t="shared" si="405"/>
        <v>1426.2000</v>
      </c>
      <c r="T606" s="10">
        <v>27038</v>
      </c>
      <c r="U606" s="10">
        <v>1200</v>
      </c>
      <c r="V606" s="10" t="str">
        <f t="shared" si="392"/>
        <v>Repairs &amp; Maintenance</v>
      </c>
      <c r="W606" s="10" t="str">
        <f t="shared" si="393"/>
        <v>Premises Related Expenditure</v>
      </c>
      <c r="X606" s="10" t="str">
        <f>VLOOKUP(U606,'[1]Account code lookup'!A:B,2,0)</f>
        <v>Repair &amp; Maintenance</v>
      </c>
      <c r="Z606" s="10" t="str">
        <f t="shared" si="394"/>
        <v>Regeneration and Housing</v>
      </c>
      <c r="AA606" s="10" t="str">
        <f t="shared" si="395"/>
        <v>Commercial Development</v>
      </c>
      <c r="AB606" s="10" t="str">
        <f t="shared" si="396"/>
        <v>2cdb</v>
      </c>
      <c r="AD606" s="10" t="str">
        <f t="shared" si="397"/>
        <v>cdb02</v>
      </c>
      <c r="AE606" s="10" t="str">
        <f t="shared" si="398"/>
        <v>Finance &amp; Procurement / Finance</v>
      </c>
      <c r="AG606" s="10" t="str">
        <f>"27038/1200"</f>
        <v>27038/1200</v>
      </c>
      <c r="AI606" s="10" t="str">
        <f t="shared" si="399"/>
        <v>12prem</v>
      </c>
      <c r="AJ606" s="15" t="str">
        <f>"CURTIS PLACE PUBLIC TOILETSTemp checks Sept 2016 until March 2017"</f>
        <v>CURTIS PLACE PUBLIC TOILETSTemp checks Sept 2016 until March 2017</v>
      </c>
      <c r="AK606" s="10" t="str">
        <f t="shared" si="400"/>
        <v>Revenue</v>
      </c>
      <c r="AL606" s="10" t="str">
        <f>""</f>
        <v/>
      </c>
      <c r="AM606" s="10" t="str">
        <f>""</f>
        <v/>
      </c>
      <c r="AN606" s="10" t="str">
        <f>""</f>
        <v/>
      </c>
      <c r="AO606" s="10" t="str">
        <f>""</f>
        <v/>
      </c>
    </row>
    <row r="607" spans="1:41" s="10" customFormat="1" ht="409.6">
      <c r="A607" s="9"/>
      <c r="B607" s="9"/>
      <c r="C607" s="9"/>
      <c r="D607" s="10" t="str">
        <f>"31944"</f>
        <v>31944</v>
      </c>
      <c r="E607" s="11" t="str">
        <f>""</f>
        <v/>
      </c>
      <c r="F607" s="11" t="str">
        <f t="shared" si="381"/>
        <v>372418</v>
      </c>
      <c r="G607" s="11" t="str">
        <f t="shared" si="382"/>
        <v>2017toJAN</v>
      </c>
      <c r="H607" s="11" t="str">
        <f t="shared" si="383"/>
        <v>CRSP06B</v>
      </c>
      <c r="I607" s="11" t="str">
        <f t="shared" si="384"/>
        <v>34</v>
      </c>
      <c r="J607" s="11" t="str">
        <f t="shared" si="385"/>
        <v>Creditor</v>
      </c>
      <c r="K607" s="11" t="str">
        <f t="shared" si="386"/>
        <v>CS002345</v>
      </c>
      <c r="L607" s="10" t="str">
        <f t="shared" si="387"/>
        <v xml:space="preserve">SMS Environmental </v>
      </c>
      <c r="M607" s="12" t="str">
        <f t="shared" si="402"/>
        <v>25/01/2017 00:00:00</v>
      </c>
      <c r="N607" s="12">
        <v>42760</v>
      </c>
      <c r="O607" s="10" t="str">
        <f t="shared" si="403"/>
        <v>C008093</v>
      </c>
      <c r="P607" s="13">
        <v>60</v>
      </c>
      <c r="Q607" s="11" t="str">
        <f>"60.0000"</f>
        <v>60.0000</v>
      </c>
      <c r="R607" s="10" t="str">
        <f t="shared" si="404"/>
        <v>C0004566</v>
      </c>
      <c r="S607" s="14" t="str">
        <f t="shared" si="405"/>
        <v>1426.2000</v>
      </c>
      <c r="T607" s="10">
        <v>27038</v>
      </c>
      <c r="U607" s="10">
        <v>1200</v>
      </c>
      <c r="V607" s="10" t="str">
        <f t="shared" si="392"/>
        <v>Repairs &amp; Maintenance</v>
      </c>
      <c r="W607" s="10" t="str">
        <f t="shared" si="393"/>
        <v>Premises Related Expenditure</v>
      </c>
      <c r="X607" s="10" t="str">
        <f>VLOOKUP(U607,'[1]Account code lookup'!A:B,2,0)</f>
        <v>Repair &amp; Maintenance</v>
      </c>
      <c r="Z607" s="10" t="str">
        <f t="shared" si="394"/>
        <v>Regeneration and Housing</v>
      </c>
      <c r="AA607" s="10" t="str">
        <f t="shared" si="395"/>
        <v>Commercial Development</v>
      </c>
      <c r="AB607" s="10" t="str">
        <f t="shared" si="396"/>
        <v>2cdb</v>
      </c>
      <c r="AD607" s="10" t="str">
        <f t="shared" si="397"/>
        <v>cdb02</v>
      </c>
      <c r="AE607" s="10" t="str">
        <f t="shared" si="398"/>
        <v>Finance &amp; Procurement / Finance</v>
      </c>
      <c r="AG607" s="10" t="str">
        <f>"27038/1200"</f>
        <v>27038/1200</v>
      </c>
      <c r="AI607" s="10" t="str">
        <f t="shared" si="399"/>
        <v>12prem</v>
      </c>
      <c r="AJ607" s="15" t="str">
        <f>"HORSEFAIR PUBLIC TOILETSTemp checks Sept 2016 until March 2017"</f>
        <v>HORSEFAIR PUBLIC TOILETSTemp checks Sept 2016 until March 2017</v>
      </c>
      <c r="AK607" s="10" t="str">
        <f t="shared" si="400"/>
        <v>Revenue</v>
      </c>
      <c r="AL607" s="10" t="str">
        <f>""</f>
        <v/>
      </c>
      <c r="AM607" s="10" t="str">
        <f>""</f>
        <v/>
      </c>
      <c r="AN607" s="10" t="str">
        <f>""</f>
        <v/>
      </c>
      <c r="AO607" s="10" t="str">
        <f>""</f>
        <v/>
      </c>
    </row>
    <row r="608" spans="1:41" s="10" customFormat="1" ht="409.6">
      <c r="A608" s="9"/>
      <c r="B608" s="9"/>
      <c r="C608" s="9"/>
      <c r="D608" s="10" t="str">
        <f>"31945"</f>
        <v>31945</v>
      </c>
      <c r="E608" s="11" t="str">
        <f>""</f>
        <v/>
      </c>
      <c r="F608" s="11" t="str">
        <f t="shared" si="381"/>
        <v>372418</v>
      </c>
      <c r="G608" s="11" t="str">
        <f t="shared" si="382"/>
        <v>2017toJAN</v>
      </c>
      <c r="H608" s="11" t="str">
        <f t="shared" si="383"/>
        <v>CRSP06B</v>
      </c>
      <c r="I608" s="11" t="str">
        <f t="shared" si="384"/>
        <v>34</v>
      </c>
      <c r="J608" s="11" t="str">
        <f t="shared" si="385"/>
        <v>Creditor</v>
      </c>
      <c r="K608" s="11" t="str">
        <f t="shared" si="386"/>
        <v>CS002345</v>
      </c>
      <c r="L608" s="10" t="str">
        <f t="shared" si="387"/>
        <v xml:space="preserve">SMS Environmental </v>
      </c>
      <c r="M608" s="12" t="str">
        <f t="shared" si="402"/>
        <v>25/01/2017 00:00:00</v>
      </c>
      <c r="N608" s="12">
        <v>42760</v>
      </c>
      <c r="O608" s="10" t="str">
        <f t="shared" si="403"/>
        <v>C008093</v>
      </c>
      <c r="P608" s="13">
        <v>25</v>
      </c>
      <c r="Q608" s="11" t="str">
        <f>"25.0000"</f>
        <v>25.0000</v>
      </c>
      <c r="R608" s="10" t="str">
        <f t="shared" si="404"/>
        <v>C0004566</v>
      </c>
      <c r="S608" s="14" t="str">
        <f t="shared" si="405"/>
        <v>1426.2000</v>
      </c>
      <c r="T608" s="10">
        <v>29508</v>
      </c>
      <c r="U608" s="10">
        <v>1200</v>
      </c>
      <c r="V608" s="10" t="str">
        <f t="shared" si="392"/>
        <v>Repairs &amp; Maintenance</v>
      </c>
      <c r="W608" s="10" t="str">
        <f t="shared" si="393"/>
        <v>Premises Related Expenditure</v>
      </c>
      <c r="X608" s="10" t="str">
        <f>VLOOKUP(U608,'[1]Account code lookup'!A:B,2,0)</f>
        <v>Repair &amp; Maintenance</v>
      </c>
      <c r="Z608" s="10" t="str">
        <f t="shared" si="394"/>
        <v>Regeneration and Housing</v>
      </c>
      <c r="AA608" s="10" t="str">
        <f t="shared" si="395"/>
        <v>Commercial Development</v>
      </c>
      <c r="AB608" s="10" t="str">
        <f t="shared" si="396"/>
        <v>2cdb</v>
      </c>
      <c r="AD608" s="10" t="str">
        <f t="shared" si="397"/>
        <v>cdb02</v>
      </c>
      <c r="AE608" s="10" t="str">
        <f t="shared" si="398"/>
        <v>Finance &amp; Procurement / Finance</v>
      </c>
      <c r="AG608" s="10" t="str">
        <f>"29508/1200"</f>
        <v>29508/1200</v>
      </c>
      <c r="AI608" s="10" t="str">
        <f t="shared" si="399"/>
        <v>12prem</v>
      </c>
      <c r="AJ608" s="15" t="str">
        <f>"DRAYTON PAVILLIONCWS tank inspection"</f>
        <v>DRAYTON PAVILLIONCWS tank inspection</v>
      </c>
      <c r="AK608" s="10" t="str">
        <f t="shared" si="400"/>
        <v>Revenue</v>
      </c>
      <c r="AL608" s="10" t="str">
        <f>""</f>
        <v/>
      </c>
      <c r="AM608" s="10" t="str">
        <f>""</f>
        <v/>
      </c>
      <c r="AN608" s="10" t="str">
        <f>""</f>
        <v/>
      </c>
      <c r="AO608" s="10" t="str">
        <f>""</f>
        <v/>
      </c>
    </row>
    <row r="609" spans="1:41" s="10" customFormat="1" ht="409.6">
      <c r="A609" s="9"/>
      <c r="B609" s="9"/>
      <c r="C609" s="9"/>
      <c r="D609" s="10" t="str">
        <f>"31946"</f>
        <v>31946</v>
      </c>
      <c r="E609" s="11" t="str">
        <f>""</f>
        <v/>
      </c>
      <c r="F609" s="11" t="str">
        <f t="shared" si="381"/>
        <v>372418</v>
      </c>
      <c r="G609" s="11" t="str">
        <f t="shared" si="382"/>
        <v>2017toJAN</v>
      </c>
      <c r="H609" s="11" t="str">
        <f t="shared" si="383"/>
        <v>CRSP06B</v>
      </c>
      <c r="I609" s="11" t="str">
        <f t="shared" si="384"/>
        <v>34</v>
      </c>
      <c r="J609" s="11" t="str">
        <f t="shared" si="385"/>
        <v>Creditor</v>
      </c>
      <c r="K609" s="11" t="str">
        <f t="shared" si="386"/>
        <v>CS002345</v>
      </c>
      <c r="L609" s="10" t="str">
        <f t="shared" si="387"/>
        <v xml:space="preserve">SMS Environmental </v>
      </c>
      <c r="M609" s="12" t="str">
        <f t="shared" si="402"/>
        <v>25/01/2017 00:00:00</v>
      </c>
      <c r="N609" s="12">
        <v>42760</v>
      </c>
      <c r="O609" s="10" t="str">
        <f t="shared" si="403"/>
        <v>C008093</v>
      </c>
      <c r="P609" s="13">
        <v>20</v>
      </c>
      <c r="Q609" s="11" t="str">
        <f>"20.0000"</f>
        <v>20.0000</v>
      </c>
      <c r="R609" s="10" t="str">
        <f t="shared" si="404"/>
        <v>C0004566</v>
      </c>
      <c r="S609" s="14" t="str">
        <f t="shared" si="405"/>
        <v>1426.2000</v>
      </c>
      <c r="T609" s="10">
        <v>29508</v>
      </c>
      <c r="U609" s="10">
        <v>1200</v>
      </c>
      <c r="V609" s="10" t="str">
        <f t="shared" si="392"/>
        <v>Repairs &amp; Maintenance</v>
      </c>
      <c r="W609" s="10" t="str">
        <f t="shared" si="393"/>
        <v>Premises Related Expenditure</v>
      </c>
      <c r="X609" s="10" t="str">
        <f>VLOOKUP(U609,'[1]Account code lookup'!A:B,2,0)</f>
        <v>Repair &amp; Maintenance</v>
      </c>
      <c r="Z609" s="10" t="str">
        <f t="shared" si="394"/>
        <v>Regeneration and Housing</v>
      </c>
      <c r="AA609" s="10" t="str">
        <f t="shared" si="395"/>
        <v>Commercial Development</v>
      </c>
      <c r="AB609" s="10" t="str">
        <f t="shared" si="396"/>
        <v>2cdb</v>
      </c>
      <c r="AD609" s="10" t="str">
        <f t="shared" si="397"/>
        <v>cdb02</v>
      </c>
      <c r="AE609" s="10" t="str">
        <f t="shared" si="398"/>
        <v>Finance &amp; Procurement / Finance</v>
      </c>
      <c r="AG609" s="10" t="str">
        <f>"29508/1200"</f>
        <v>29508/1200</v>
      </c>
      <c r="AI609" s="10" t="str">
        <f t="shared" si="399"/>
        <v>12prem</v>
      </c>
      <c r="AJ609" s="15" t="str">
        <f>"DRAYTON PAVILLIONShower"</f>
        <v>DRAYTON PAVILLIONShower</v>
      </c>
      <c r="AK609" s="10" t="str">
        <f t="shared" si="400"/>
        <v>Revenue</v>
      </c>
      <c r="AL609" s="10" t="str">
        <f>""</f>
        <v/>
      </c>
      <c r="AM609" s="10" t="str">
        <f>""</f>
        <v/>
      </c>
      <c r="AN609" s="10" t="str">
        <f>""</f>
        <v/>
      </c>
      <c r="AO609" s="10" t="str">
        <f>""</f>
        <v/>
      </c>
    </row>
    <row r="610" spans="1:41" s="10" customFormat="1" ht="409.6">
      <c r="A610" s="9"/>
      <c r="B610" s="9"/>
      <c r="C610" s="9"/>
      <c r="D610" s="10" t="str">
        <f>"31947"</f>
        <v>31947</v>
      </c>
      <c r="E610" s="11" t="str">
        <f>""</f>
        <v/>
      </c>
      <c r="F610" s="11" t="str">
        <f t="shared" si="381"/>
        <v>372418</v>
      </c>
      <c r="G610" s="11" t="str">
        <f t="shared" si="382"/>
        <v>2017toJAN</v>
      </c>
      <c r="H610" s="11" t="str">
        <f t="shared" si="383"/>
        <v>CRSP06B</v>
      </c>
      <c r="I610" s="11" t="str">
        <f t="shared" si="384"/>
        <v>34</v>
      </c>
      <c r="J610" s="11" t="str">
        <f t="shared" si="385"/>
        <v>Creditor</v>
      </c>
      <c r="K610" s="11" t="str">
        <f t="shared" si="386"/>
        <v>CS002345</v>
      </c>
      <c r="L610" s="10" t="str">
        <f t="shared" si="387"/>
        <v xml:space="preserve">SMS Environmental </v>
      </c>
      <c r="M610" s="12" t="str">
        <f t="shared" si="402"/>
        <v>25/01/2017 00:00:00</v>
      </c>
      <c r="N610" s="12">
        <v>42760</v>
      </c>
      <c r="O610" s="10" t="str">
        <f t="shared" si="403"/>
        <v>C008093</v>
      </c>
      <c r="P610" s="13">
        <v>60</v>
      </c>
      <c r="Q610" s="11" t="str">
        <f>"60.0000"</f>
        <v>60.0000</v>
      </c>
      <c r="R610" s="10" t="str">
        <f t="shared" si="404"/>
        <v>C0004566</v>
      </c>
      <c r="S610" s="14" t="str">
        <f t="shared" si="405"/>
        <v>1426.2000</v>
      </c>
      <c r="T610" s="10">
        <v>29508</v>
      </c>
      <c r="U610" s="10">
        <v>1200</v>
      </c>
      <c r="V610" s="10" t="str">
        <f t="shared" si="392"/>
        <v>Repairs &amp; Maintenance</v>
      </c>
      <c r="W610" s="10" t="str">
        <f t="shared" si="393"/>
        <v>Premises Related Expenditure</v>
      </c>
      <c r="X610" s="10" t="str">
        <f>VLOOKUP(U610,'[1]Account code lookup'!A:B,2,0)</f>
        <v>Repair &amp; Maintenance</v>
      </c>
      <c r="Z610" s="10" t="str">
        <f t="shared" si="394"/>
        <v>Regeneration and Housing</v>
      </c>
      <c r="AA610" s="10" t="str">
        <f t="shared" si="395"/>
        <v>Commercial Development</v>
      </c>
      <c r="AB610" s="10" t="str">
        <f t="shared" si="396"/>
        <v>2cdb</v>
      </c>
      <c r="AD610" s="10" t="str">
        <f t="shared" si="397"/>
        <v>cdb02</v>
      </c>
      <c r="AE610" s="10" t="str">
        <f t="shared" si="398"/>
        <v>Finance &amp; Procurement / Finance</v>
      </c>
      <c r="AG610" s="10" t="str">
        <f>"29508/1200"</f>
        <v>29508/1200</v>
      </c>
      <c r="AI610" s="10" t="str">
        <f t="shared" si="399"/>
        <v>12prem</v>
      </c>
      <c r="AJ610" s="15" t="str">
        <f>"DRAYTON PAVILLIONTMV fail safe check"</f>
        <v>DRAYTON PAVILLIONTMV fail safe check</v>
      </c>
      <c r="AK610" s="10" t="str">
        <f t="shared" si="400"/>
        <v>Revenue</v>
      </c>
      <c r="AL610" s="10" t="str">
        <f>""</f>
        <v/>
      </c>
      <c r="AM610" s="10" t="str">
        <f>""</f>
        <v/>
      </c>
      <c r="AN610" s="10" t="str">
        <f>""</f>
        <v/>
      </c>
      <c r="AO610" s="10" t="str">
        <f>""</f>
        <v/>
      </c>
    </row>
    <row r="611" spans="1:41" s="10" customFormat="1" ht="409.6">
      <c r="A611" s="9"/>
      <c r="B611" s="9"/>
      <c r="C611" s="9"/>
      <c r="D611" s="10" t="str">
        <f>"31948"</f>
        <v>31948</v>
      </c>
      <c r="E611" s="11" t="str">
        <f>""</f>
        <v/>
      </c>
      <c r="F611" s="11" t="str">
        <f t="shared" si="381"/>
        <v>372418</v>
      </c>
      <c r="G611" s="11" t="str">
        <f t="shared" si="382"/>
        <v>2017toJAN</v>
      </c>
      <c r="H611" s="11" t="str">
        <f t="shared" si="383"/>
        <v>CRSP06B</v>
      </c>
      <c r="I611" s="11" t="str">
        <f t="shared" si="384"/>
        <v>34</v>
      </c>
      <c r="J611" s="11" t="str">
        <f t="shared" si="385"/>
        <v>Creditor</v>
      </c>
      <c r="K611" s="11" t="str">
        <f t="shared" si="386"/>
        <v>CS002345</v>
      </c>
      <c r="L611" s="10" t="str">
        <f t="shared" si="387"/>
        <v xml:space="preserve">SMS Environmental </v>
      </c>
      <c r="M611" s="12" t="str">
        <f t="shared" si="402"/>
        <v>25/01/2017 00:00:00</v>
      </c>
      <c r="N611" s="12">
        <v>42760</v>
      </c>
      <c r="O611" s="10" t="str">
        <f t="shared" si="403"/>
        <v>C008093</v>
      </c>
      <c r="P611" s="13">
        <v>60</v>
      </c>
      <c r="Q611" s="11" t="str">
        <f>"60.0000"</f>
        <v>60.0000</v>
      </c>
      <c r="R611" s="10" t="str">
        <f t="shared" si="404"/>
        <v>C0004566</v>
      </c>
      <c r="S611" s="14" t="str">
        <f t="shared" si="405"/>
        <v>1426.2000</v>
      </c>
      <c r="T611" s="10">
        <v>31012</v>
      </c>
      <c r="U611" s="10">
        <v>1200</v>
      </c>
      <c r="V611" s="10" t="str">
        <f t="shared" si="392"/>
        <v>Repairs &amp; Maintenance</v>
      </c>
      <c r="W611" s="10" t="str">
        <f t="shared" si="393"/>
        <v>Premises Related Expenditure</v>
      </c>
      <c r="X611" s="10" t="str">
        <f>VLOOKUP(U611,'[1]Account code lookup'!A:B,2,0)</f>
        <v>Repair &amp; Maintenance</v>
      </c>
      <c r="Z611" s="10" t="str">
        <f t="shared" si="394"/>
        <v>Regeneration and Housing</v>
      </c>
      <c r="AA611" s="10" t="str">
        <f t="shared" si="395"/>
        <v>Commercial Development</v>
      </c>
      <c r="AB611" s="10" t="str">
        <f t="shared" si="396"/>
        <v>2cdb</v>
      </c>
      <c r="AD611" s="10" t="str">
        <f t="shared" si="397"/>
        <v>cdb02</v>
      </c>
      <c r="AE611" s="10" t="str">
        <f t="shared" si="398"/>
        <v>Finance &amp; Procurement / Finance</v>
      </c>
      <c r="AG611" s="10" t="str">
        <f>"31012/1200"</f>
        <v>31012/1200</v>
      </c>
      <c r="AI611" s="10" t="str">
        <f t="shared" si="399"/>
        <v>12prem</v>
      </c>
      <c r="AJ611" s="15" t="str">
        <f>"S/C BANBURY HEALTH CENTRETemp checkSept 2016 - March 2017"</f>
        <v>S/C BANBURY HEALTH CENTRETemp checkSept 2016 - March 2017</v>
      </c>
      <c r="AK611" s="10" t="str">
        <f t="shared" si="400"/>
        <v>Revenue</v>
      </c>
      <c r="AL611" s="10" t="str">
        <f>""</f>
        <v/>
      </c>
      <c r="AM611" s="10" t="str">
        <f>""</f>
        <v/>
      </c>
      <c r="AN611" s="10" t="str">
        <f>""</f>
        <v/>
      </c>
      <c r="AO611" s="10" t="str">
        <f>""</f>
        <v/>
      </c>
    </row>
    <row r="612" spans="1:41" s="10" customFormat="1" ht="409.6">
      <c r="A612" s="9"/>
      <c r="B612" s="9"/>
      <c r="C612" s="9"/>
      <c r="D612" s="10" t="str">
        <f>"31949"</f>
        <v>31949</v>
      </c>
      <c r="E612" s="11" t="str">
        <f>""</f>
        <v/>
      </c>
      <c r="F612" s="11" t="str">
        <f t="shared" si="381"/>
        <v>372418</v>
      </c>
      <c r="G612" s="11" t="str">
        <f t="shared" si="382"/>
        <v>2017toJAN</v>
      </c>
      <c r="H612" s="11" t="str">
        <f t="shared" si="383"/>
        <v>CRSP06B</v>
      </c>
      <c r="I612" s="11" t="str">
        <f t="shared" si="384"/>
        <v>34</v>
      </c>
      <c r="J612" s="11" t="str">
        <f t="shared" si="385"/>
        <v>Creditor</v>
      </c>
      <c r="K612" s="11" t="str">
        <f t="shared" si="386"/>
        <v>CS002345</v>
      </c>
      <c r="L612" s="10" t="str">
        <f t="shared" si="387"/>
        <v xml:space="preserve">SMS Environmental </v>
      </c>
      <c r="M612" s="12" t="str">
        <f t="shared" si="402"/>
        <v>25/01/2017 00:00:00</v>
      </c>
      <c r="N612" s="12">
        <v>42760</v>
      </c>
      <c r="O612" s="10" t="str">
        <f t="shared" si="403"/>
        <v>C008093</v>
      </c>
      <c r="P612" s="13">
        <v>60</v>
      </c>
      <c r="Q612" s="11" t="str">
        <f>"60.0000"</f>
        <v>60.0000</v>
      </c>
      <c r="R612" s="10" t="str">
        <f t="shared" si="404"/>
        <v>C0004566</v>
      </c>
      <c r="S612" s="14" t="str">
        <f t="shared" si="405"/>
        <v>1426.2000</v>
      </c>
      <c r="T612" s="10">
        <v>31013</v>
      </c>
      <c r="U612" s="10">
        <v>1200</v>
      </c>
      <c r="V612" s="10" t="str">
        <f t="shared" si="392"/>
        <v>Repairs &amp; Maintenance</v>
      </c>
      <c r="W612" s="10" t="str">
        <f t="shared" si="393"/>
        <v>Premises Related Expenditure</v>
      </c>
      <c r="X612" s="10" t="str">
        <f>VLOOKUP(U612,'[1]Account code lookup'!A:B,2,0)</f>
        <v>Repair &amp; Maintenance</v>
      </c>
      <c r="Z612" s="10" t="str">
        <f t="shared" si="394"/>
        <v>Regeneration and Housing</v>
      </c>
      <c r="AA612" s="10" t="str">
        <f t="shared" si="395"/>
        <v>Commercial Development</v>
      </c>
      <c r="AB612" s="10" t="str">
        <f t="shared" si="396"/>
        <v>2cdb</v>
      </c>
      <c r="AD612" s="10" t="str">
        <f t="shared" si="397"/>
        <v>cdb02</v>
      </c>
      <c r="AE612" s="10" t="str">
        <f t="shared" si="398"/>
        <v>Finance &amp; Procurement / Finance</v>
      </c>
      <c r="AG612" s="10" t="str">
        <f>"31013/1200"</f>
        <v>31013/1200</v>
      </c>
      <c r="AI612" s="10" t="str">
        <f t="shared" si="399"/>
        <v>12prem</v>
      </c>
      <c r="AJ612" s="15" t="str">
        <f>"PIONEER SQTemp check Pd Sept 2016 - March 2017"</f>
        <v>PIONEER SQTemp check Pd Sept 2016 - March 2017</v>
      </c>
      <c r="AK612" s="10" t="str">
        <f t="shared" si="400"/>
        <v>Revenue</v>
      </c>
      <c r="AL612" s="10" t="str">
        <f>""</f>
        <v/>
      </c>
      <c r="AM612" s="10" t="str">
        <f>""</f>
        <v/>
      </c>
      <c r="AN612" s="10" t="str">
        <f>""</f>
        <v/>
      </c>
      <c r="AO612" s="10" t="str">
        <f>""</f>
        <v/>
      </c>
    </row>
    <row r="613" spans="1:41" s="10" customFormat="1" ht="409.6">
      <c r="A613" s="9"/>
      <c r="B613" s="9"/>
      <c r="C613" s="9"/>
      <c r="D613" s="10" t="str">
        <f>"31950"</f>
        <v>31950</v>
      </c>
      <c r="E613" s="11" t="str">
        <f>""</f>
        <v/>
      </c>
      <c r="F613" s="11" t="str">
        <f t="shared" si="381"/>
        <v>372418</v>
      </c>
      <c r="G613" s="11" t="str">
        <f t="shared" si="382"/>
        <v>2017toJAN</v>
      </c>
      <c r="H613" s="11" t="str">
        <f t="shared" si="383"/>
        <v>CRSP06B</v>
      </c>
      <c r="I613" s="11" t="str">
        <f t="shared" si="384"/>
        <v>34</v>
      </c>
      <c r="J613" s="11" t="str">
        <f t="shared" si="385"/>
        <v>Creditor</v>
      </c>
      <c r="K613" s="11" t="str">
        <f t="shared" si="386"/>
        <v>CS002345</v>
      </c>
      <c r="L613" s="10" t="str">
        <f t="shared" si="387"/>
        <v xml:space="preserve">SMS Environmental </v>
      </c>
      <c r="M613" s="12" t="str">
        <f t="shared" ref="M613:M642" si="407">"27/01/2017 00:00:00"</f>
        <v>27/01/2017 00:00:00</v>
      </c>
      <c r="N613" s="12">
        <v>42762</v>
      </c>
      <c r="O613" s="10" t="str">
        <f>"C008177"</f>
        <v>C008177</v>
      </c>
      <c r="P613" s="13">
        <v>218.5</v>
      </c>
      <c r="Q613" s="11" t="str">
        <f>"218.5000"</f>
        <v>218.5000</v>
      </c>
      <c r="R613" s="10" t="str">
        <f t="shared" ref="R613:R642" si="408">"C0004622"</f>
        <v>C0004622</v>
      </c>
      <c r="S613" s="14" t="str">
        <f t="shared" ref="S613:S642" si="409">"2660.4000"</f>
        <v>2660.4000</v>
      </c>
      <c r="T613" s="10">
        <v>21714</v>
      </c>
      <c r="U613" s="10">
        <v>1200</v>
      </c>
      <c r="V613" s="10" t="str">
        <f t="shared" si="392"/>
        <v>Repairs &amp; Maintenance</v>
      </c>
      <c r="W613" s="10" t="str">
        <f t="shared" si="393"/>
        <v>Premises Related Expenditure</v>
      </c>
      <c r="X613" s="10" t="str">
        <f>VLOOKUP(U613,'[1]Account code lookup'!A:B,2,0)</f>
        <v>Repair &amp; Maintenance</v>
      </c>
      <c r="Z613" s="10" t="str">
        <f t="shared" si="394"/>
        <v>Regeneration and Housing</v>
      </c>
      <c r="AA613" s="10" t="str">
        <f t="shared" si="395"/>
        <v>Commercial Development</v>
      </c>
      <c r="AB613" s="10" t="str">
        <f t="shared" si="396"/>
        <v>2cdb</v>
      </c>
      <c r="AD613" s="10" t="str">
        <f t="shared" si="397"/>
        <v>cdb02</v>
      </c>
      <c r="AE613" s="10" t="str">
        <f t="shared" si="398"/>
        <v>Finance &amp; Procurement / Finance</v>
      </c>
      <c r="AG613" s="10" t="str">
        <f>"21714/1200"</f>
        <v>21714/1200</v>
      </c>
      <c r="AI613" s="10" t="str">
        <f t="shared" si="399"/>
        <v>12prem</v>
      </c>
      <c r="AJ613" s="15" t="str">
        <f>"THORPE LANE DEPOTLegionella Sampling"</f>
        <v>THORPE LANE DEPOTLegionella Sampling</v>
      </c>
      <c r="AK613" s="10" t="str">
        <f t="shared" si="400"/>
        <v>Revenue</v>
      </c>
      <c r="AL613" s="10" t="str">
        <f>""</f>
        <v/>
      </c>
      <c r="AM613" s="10" t="str">
        <f>""</f>
        <v/>
      </c>
      <c r="AN613" s="10" t="str">
        <f>""</f>
        <v/>
      </c>
      <c r="AO613" s="10" t="str">
        <f>""</f>
        <v/>
      </c>
    </row>
    <row r="614" spans="1:41" s="10" customFormat="1" ht="409.6">
      <c r="A614" s="9"/>
      <c r="B614" s="9"/>
      <c r="C614" s="9"/>
      <c r="D614" s="10" t="str">
        <f>"31951"</f>
        <v>31951</v>
      </c>
      <c r="E614" s="11" t="str">
        <f>""</f>
        <v/>
      </c>
      <c r="F614" s="11" t="str">
        <f t="shared" si="381"/>
        <v>372418</v>
      </c>
      <c r="G614" s="11" t="str">
        <f t="shared" si="382"/>
        <v>2017toJAN</v>
      </c>
      <c r="H614" s="11" t="str">
        <f t="shared" si="383"/>
        <v>CRSP06B</v>
      </c>
      <c r="I614" s="11" t="str">
        <f t="shared" si="384"/>
        <v>34</v>
      </c>
      <c r="J614" s="11" t="str">
        <f t="shared" si="385"/>
        <v>Creditor</v>
      </c>
      <c r="K614" s="11" t="str">
        <f t="shared" si="386"/>
        <v>CS002345</v>
      </c>
      <c r="L614" s="10" t="str">
        <f t="shared" si="387"/>
        <v xml:space="preserve">SMS Environmental </v>
      </c>
      <c r="M614" s="12" t="str">
        <f t="shared" si="407"/>
        <v>27/01/2017 00:00:00</v>
      </c>
      <c r="N614" s="12">
        <v>42762</v>
      </c>
      <c r="O614" s="10" t="str">
        <f>"C008103"</f>
        <v>C008103</v>
      </c>
      <c r="P614" s="13">
        <v>68.5</v>
      </c>
      <c r="Q614" s="11" t="str">
        <f>"68.5000"</f>
        <v>68.5000</v>
      </c>
      <c r="R614" s="10" t="str">
        <f t="shared" si="408"/>
        <v>C0004622</v>
      </c>
      <c r="S614" s="14" t="str">
        <f t="shared" si="409"/>
        <v>2660.4000</v>
      </c>
      <c r="T614" s="10">
        <v>21714</v>
      </c>
      <c r="U614" s="10">
        <v>1200</v>
      </c>
      <c r="V614" s="10" t="str">
        <f t="shared" si="392"/>
        <v>Repairs &amp; Maintenance</v>
      </c>
      <c r="W614" s="10" t="str">
        <f t="shared" si="393"/>
        <v>Premises Related Expenditure</v>
      </c>
      <c r="X614" s="10" t="str">
        <f>VLOOKUP(U614,'[1]Account code lookup'!A:B,2,0)</f>
        <v>Repair &amp; Maintenance</v>
      </c>
      <c r="Z614" s="10" t="str">
        <f t="shared" si="394"/>
        <v>Regeneration and Housing</v>
      </c>
      <c r="AA614" s="10" t="str">
        <f t="shared" si="395"/>
        <v>Commercial Development</v>
      </c>
      <c r="AB614" s="10" t="str">
        <f t="shared" si="396"/>
        <v>2cdb</v>
      </c>
      <c r="AD614" s="10" t="str">
        <f t="shared" si="397"/>
        <v>cdb02</v>
      </c>
      <c r="AE614" s="10" t="str">
        <f t="shared" si="398"/>
        <v>Finance &amp; Procurement / Finance</v>
      </c>
      <c r="AG614" s="10" t="str">
        <f>"21714/1200"</f>
        <v>21714/1200</v>
      </c>
      <c r="AI614" s="10" t="str">
        <f t="shared" si="399"/>
        <v>12prem</v>
      </c>
      <c r="AJ614" s="15" t="str">
        <f>"THORPE LANE DEPOTPseudomonas sampling"</f>
        <v>THORPE LANE DEPOTPseudomonas sampling</v>
      </c>
      <c r="AK614" s="10" t="str">
        <f t="shared" si="400"/>
        <v>Revenue</v>
      </c>
      <c r="AL614" s="10" t="str">
        <f>""</f>
        <v/>
      </c>
      <c r="AM614" s="10" t="str">
        <f>""</f>
        <v/>
      </c>
      <c r="AN614" s="10" t="str">
        <f>""</f>
        <v/>
      </c>
      <c r="AO614" s="10" t="str">
        <f>""</f>
        <v/>
      </c>
    </row>
    <row r="615" spans="1:41" s="10" customFormat="1" ht="409.6">
      <c r="A615" s="9"/>
      <c r="B615" s="9"/>
      <c r="C615" s="9"/>
      <c r="D615" s="10" t="str">
        <f>"31952"</f>
        <v>31952</v>
      </c>
      <c r="E615" s="11" t="str">
        <f>""</f>
        <v/>
      </c>
      <c r="F615" s="11" t="str">
        <f t="shared" si="381"/>
        <v>372418</v>
      </c>
      <c r="G615" s="11" t="str">
        <f t="shared" si="382"/>
        <v>2017toJAN</v>
      </c>
      <c r="H615" s="11" t="str">
        <f t="shared" si="383"/>
        <v>CRSP06B</v>
      </c>
      <c r="I615" s="11" t="str">
        <f t="shared" si="384"/>
        <v>34</v>
      </c>
      <c r="J615" s="11" t="str">
        <f t="shared" si="385"/>
        <v>Creditor</v>
      </c>
      <c r="K615" s="11" t="str">
        <f t="shared" si="386"/>
        <v>CS002345</v>
      </c>
      <c r="L615" s="10" t="str">
        <f t="shared" si="387"/>
        <v xml:space="preserve">SMS Environmental </v>
      </c>
      <c r="M615" s="12" t="str">
        <f t="shared" si="407"/>
        <v>27/01/2017 00:00:00</v>
      </c>
      <c r="N615" s="12">
        <v>42762</v>
      </c>
      <c r="O615" s="10" t="str">
        <f>"C008103"</f>
        <v>C008103</v>
      </c>
      <c r="P615" s="13">
        <v>90</v>
      </c>
      <c r="Q615" s="11" t="str">
        <f>"90.0000"</f>
        <v>90.0000</v>
      </c>
      <c r="R615" s="10" t="str">
        <f t="shared" si="408"/>
        <v>C0004622</v>
      </c>
      <c r="S615" s="14" t="str">
        <f t="shared" si="409"/>
        <v>2660.4000</v>
      </c>
      <c r="T615" s="10">
        <v>21714</v>
      </c>
      <c r="U615" s="10">
        <v>1200</v>
      </c>
      <c r="V615" s="10" t="str">
        <f t="shared" si="392"/>
        <v>Repairs &amp; Maintenance</v>
      </c>
      <c r="W615" s="10" t="str">
        <f t="shared" si="393"/>
        <v>Premises Related Expenditure</v>
      </c>
      <c r="X615" s="10" t="str">
        <f>VLOOKUP(U615,'[1]Account code lookup'!A:B,2,0)</f>
        <v>Repair &amp; Maintenance</v>
      </c>
      <c r="Z615" s="10" t="str">
        <f t="shared" si="394"/>
        <v>Regeneration and Housing</v>
      </c>
      <c r="AA615" s="10" t="str">
        <f t="shared" si="395"/>
        <v>Commercial Development</v>
      </c>
      <c r="AB615" s="10" t="str">
        <f t="shared" si="396"/>
        <v>2cdb</v>
      </c>
      <c r="AD615" s="10" t="str">
        <f t="shared" si="397"/>
        <v>cdb02</v>
      </c>
      <c r="AE615" s="10" t="str">
        <f t="shared" si="398"/>
        <v>Finance &amp; Procurement / Finance</v>
      </c>
      <c r="AG615" s="10" t="str">
        <f>"21714/1200"</f>
        <v>21714/1200</v>
      </c>
      <c r="AI615" s="10" t="str">
        <f t="shared" si="399"/>
        <v>12prem</v>
      </c>
      <c r="AJ615" s="15" t="str">
        <f>"THORPE LANE DEPOTTVC Samplingpd Sept 2016 - March 2017"</f>
        <v>THORPE LANE DEPOTTVC Samplingpd Sept 2016 - March 2017</v>
      </c>
      <c r="AK615" s="10" t="str">
        <f t="shared" si="400"/>
        <v>Revenue</v>
      </c>
      <c r="AL615" s="10" t="str">
        <f>""</f>
        <v/>
      </c>
      <c r="AM615" s="10" t="str">
        <f>""</f>
        <v/>
      </c>
      <c r="AN615" s="10" t="str">
        <f>""</f>
        <v/>
      </c>
      <c r="AO615" s="10" t="str">
        <f>""</f>
        <v/>
      </c>
    </row>
    <row r="616" spans="1:41" s="10" customFormat="1" ht="409.6">
      <c r="A616" s="9"/>
      <c r="B616" s="9"/>
      <c r="C616" s="9"/>
      <c r="D616" s="10" t="str">
        <f>"31953"</f>
        <v>31953</v>
      </c>
      <c r="E616" s="11" t="str">
        <f>""</f>
        <v/>
      </c>
      <c r="F616" s="11" t="str">
        <f t="shared" si="381"/>
        <v>372418</v>
      </c>
      <c r="G616" s="11" t="str">
        <f t="shared" si="382"/>
        <v>2017toJAN</v>
      </c>
      <c r="H616" s="11" t="str">
        <f t="shared" si="383"/>
        <v>CRSP06B</v>
      </c>
      <c r="I616" s="11" t="str">
        <f t="shared" si="384"/>
        <v>34</v>
      </c>
      <c r="J616" s="11" t="str">
        <f t="shared" si="385"/>
        <v>Creditor</v>
      </c>
      <c r="K616" s="11" t="str">
        <f t="shared" si="386"/>
        <v>CS002345</v>
      </c>
      <c r="L616" s="10" t="str">
        <f t="shared" si="387"/>
        <v xml:space="preserve">SMS Environmental </v>
      </c>
      <c r="M616" s="12" t="str">
        <f t="shared" si="407"/>
        <v>27/01/2017 00:00:00</v>
      </c>
      <c r="N616" s="12">
        <v>42762</v>
      </c>
      <c r="O616" s="10" t="str">
        <f>"C008103"</f>
        <v>C008103</v>
      </c>
      <c r="P616" s="13">
        <v>60</v>
      </c>
      <c r="Q616" s="11" t="str">
        <f>"60.0000"</f>
        <v>60.0000</v>
      </c>
      <c r="R616" s="10" t="str">
        <f t="shared" si="408"/>
        <v>C0004622</v>
      </c>
      <c r="S616" s="14" t="str">
        <f t="shared" si="409"/>
        <v>2660.4000</v>
      </c>
      <c r="T616" s="10">
        <v>21715</v>
      </c>
      <c r="U616" s="10">
        <v>1200</v>
      </c>
      <c r="V616" s="10" t="str">
        <f t="shared" si="392"/>
        <v>Repairs &amp; Maintenance</v>
      </c>
      <c r="W616" s="10" t="str">
        <f t="shared" si="393"/>
        <v>Premises Related Expenditure</v>
      </c>
      <c r="X616" s="10" t="str">
        <f>VLOOKUP(U616,'[1]Account code lookup'!A:B,2,0)</f>
        <v>Repair &amp; Maintenance</v>
      </c>
      <c r="Z616" s="10" t="str">
        <f t="shared" si="394"/>
        <v>Regeneration and Housing</v>
      </c>
      <c r="AA616" s="10" t="str">
        <f t="shared" si="395"/>
        <v>Commercial Development</v>
      </c>
      <c r="AB616" s="10" t="str">
        <f t="shared" si="396"/>
        <v>2cdb</v>
      </c>
      <c r="AD616" s="10" t="str">
        <f t="shared" si="397"/>
        <v>cdb02</v>
      </c>
      <c r="AE616" s="10" t="str">
        <f t="shared" si="398"/>
        <v>Finance &amp; Procurement / Finance</v>
      </c>
      <c r="AG616" s="10" t="str">
        <f>"21715/1200"</f>
        <v>21715/1200</v>
      </c>
      <c r="AI616" s="10" t="str">
        <f t="shared" si="399"/>
        <v>12prem</v>
      </c>
      <c r="AJ616" s="15" t="str">
        <f>"HIGHFIELD DEPOTShower check"</f>
        <v>HIGHFIELD DEPOTShower check</v>
      </c>
      <c r="AK616" s="10" t="str">
        <f t="shared" si="400"/>
        <v>Revenue</v>
      </c>
      <c r="AL616" s="10" t="str">
        <f>""</f>
        <v/>
      </c>
      <c r="AM616" s="10" t="str">
        <f>""</f>
        <v/>
      </c>
      <c r="AN616" s="10" t="str">
        <f>""</f>
        <v/>
      </c>
      <c r="AO616" s="10" t="str">
        <f>""</f>
        <v/>
      </c>
    </row>
    <row r="617" spans="1:41" s="10" customFormat="1" ht="409.6">
      <c r="A617" s="9"/>
      <c r="B617" s="9"/>
      <c r="C617" s="9"/>
      <c r="D617" s="10" t="str">
        <f>"31954"</f>
        <v>31954</v>
      </c>
      <c r="E617" s="11" t="str">
        <f>""</f>
        <v/>
      </c>
      <c r="F617" s="11" t="str">
        <f t="shared" si="381"/>
        <v>372418</v>
      </c>
      <c r="G617" s="11" t="str">
        <f t="shared" si="382"/>
        <v>2017toJAN</v>
      </c>
      <c r="H617" s="11" t="str">
        <f t="shared" si="383"/>
        <v>CRSP06B</v>
      </c>
      <c r="I617" s="11" t="str">
        <f t="shared" si="384"/>
        <v>34</v>
      </c>
      <c r="J617" s="11" t="str">
        <f t="shared" si="385"/>
        <v>Creditor</v>
      </c>
      <c r="K617" s="11" t="str">
        <f t="shared" si="386"/>
        <v>CS002345</v>
      </c>
      <c r="L617" s="10" t="str">
        <f t="shared" si="387"/>
        <v xml:space="preserve">SMS Environmental </v>
      </c>
      <c r="M617" s="12" t="str">
        <f t="shared" si="407"/>
        <v>27/01/2017 00:00:00</v>
      </c>
      <c r="N617" s="12">
        <v>42762</v>
      </c>
      <c r="O617" s="10" t="str">
        <f>"C008177"</f>
        <v>C008177</v>
      </c>
      <c r="P617" s="13">
        <v>120</v>
      </c>
      <c r="Q617" s="11" t="str">
        <f>"120.0000"</f>
        <v>120.0000</v>
      </c>
      <c r="R617" s="10" t="str">
        <f t="shared" si="408"/>
        <v>C0004622</v>
      </c>
      <c r="S617" s="14" t="str">
        <f t="shared" si="409"/>
        <v>2660.4000</v>
      </c>
      <c r="T617" s="10">
        <v>21715</v>
      </c>
      <c r="U617" s="10">
        <v>1200</v>
      </c>
      <c r="V617" s="10" t="str">
        <f t="shared" si="392"/>
        <v>Repairs &amp; Maintenance</v>
      </c>
      <c r="W617" s="10" t="str">
        <f t="shared" si="393"/>
        <v>Premises Related Expenditure</v>
      </c>
      <c r="X617" s="10" t="str">
        <f>VLOOKUP(U617,'[1]Account code lookup'!A:B,2,0)</f>
        <v>Repair &amp; Maintenance</v>
      </c>
      <c r="Z617" s="10" t="str">
        <f t="shared" si="394"/>
        <v>Regeneration and Housing</v>
      </c>
      <c r="AA617" s="10" t="str">
        <f t="shared" si="395"/>
        <v>Commercial Development</v>
      </c>
      <c r="AB617" s="10" t="str">
        <f t="shared" si="396"/>
        <v>2cdb</v>
      </c>
      <c r="AD617" s="10" t="str">
        <f t="shared" si="397"/>
        <v>cdb02</v>
      </c>
      <c r="AE617" s="10" t="str">
        <f t="shared" si="398"/>
        <v>Finance &amp; Procurement / Finance</v>
      </c>
      <c r="AG617" s="10" t="str">
        <f>"21715/1200"</f>
        <v>21715/1200</v>
      </c>
      <c r="AI617" s="10" t="str">
        <f t="shared" si="399"/>
        <v>12prem</v>
      </c>
      <c r="AJ617" s="15" t="str">
        <f>"HIGHFIELD DEPOTTemp checkSept 2016 -  March 2017"</f>
        <v>HIGHFIELD DEPOTTemp checkSept 2016 -  March 2017</v>
      </c>
      <c r="AK617" s="10" t="str">
        <f t="shared" si="400"/>
        <v>Revenue</v>
      </c>
      <c r="AL617" s="10" t="str">
        <f>""</f>
        <v/>
      </c>
      <c r="AM617" s="10" t="str">
        <f>""</f>
        <v/>
      </c>
      <c r="AN617" s="10" t="str">
        <f>""</f>
        <v/>
      </c>
      <c r="AO617" s="10" t="str">
        <f>""</f>
        <v/>
      </c>
    </row>
    <row r="618" spans="1:41" s="10" customFormat="1" ht="409.6">
      <c r="A618" s="9"/>
      <c r="B618" s="9"/>
      <c r="C618" s="9"/>
      <c r="D618" s="10" t="str">
        <f>"31955"</f>
        <v>31955</v>
      </c>
      <c r="E618" s="11" t="str">
        <f>""</f>
        <v/>
      </c>
      <c r="F618" s="11" t="str">
        <f t="shared" si="381"/>
        <v>372418</v>
      </c>
      <c r="G618" s="11" t="str">
        <f t="shared" si="382"/>
        <v>2017toJAN</v>
      </c>
      <c r="H618" s="11" t="str">
        <f t="shared" si="383"/>
        <v>CRSP06B</v>
      </c>
      <c r="I618" s="11" t="str">
        <f t="shared" si="384"/>
        <v>34</v>
      </c>
      <c r="J618" s="11" t="str">
        <f t="shared" si="385"/>
        <v>Creditor</v>
      </c>
      <c r="K618" s="11" t="str">
        <f t="shared" si="386"/>
        <v>CS002345</v>
      </c>
      <c r="L618" s="10" t="str">
        <f t="shared" si="387"/>
        <v xml:space="preserve">SMS Environmental </v>
      </c>
      <c r="M618" s="12" t="str">
        <f t="shared" si="407"/>
        <v>27/01/2017 00:00:00</v>
      </c>
      <c r="N618" s="12">
        <v>42762</v>
      </c>
      <c r="O618" s="10" t="str">
        <f>"C008177"</f>
        <v>C008177</v>
      </c>
      <c r="P618" s="13">
        <v>80</v>
      </c>
      <c r="Q618" s="11" t="str">
        <f>"80.0000"</f>
        <v>80.0000</v>
      </c>
      <c r="R618" s="10" t="str">
        <f t="shared" si="408"/>
        <v>C0004622</v>
      </c>
      <c r="S618" s="14" t="str">
        <f t="shared" si="409"/>
        <v>2660.4000</v>
      </c>
      <c r="T618" s="10">
        <v>21717</v>
      </c>
      <c r="U618" s="10">
        <v>1200</v>
      </c>
      <c r="V618" s="10" t="str">
        <f t="shared" si="392"/>
        <v>Repairs &amp; Maintenance</v>
      </c>
      <c r="W618" s="10" t="str">
        <f t="shared" si="393"/>
        <v>Premises Related Expenditure</v>
      </c>
      <c r="X618" s="10" t="str">
        <f>VLOOKUP(U618,'[1]Account code lookup'!A:B,2,0)</f>
        <v>Repair &amp; Maintenance</v>
      </c>
      <c r="Z618" s="10" t="str">
        <f t="shared" si="394"/>
        <v>Regeneration and Housing</v>
      </c>
      <c r="AA618" s="10" t="str">
        <f t="shared" si="395"/>
        <v>Commercial Development</v>
      </c>
      <c r="AB618" s="10" t="str">
        <f t="shared" si="396"/>
        <v>2cdb</v>
      </c>
      <c r="AD618" s="10" t="str">
        <f t="shared" si="397"/>
        <v>cdb02</v>
      </c>
      <c r="AE618" s="10" t="str">
        <f t="shared" si="398"/>
        <v>Finance &amp; Procurement / Finance</v>
      </c>
      <c r="AG618" s="10" t="str">
        <f t="shared" ref="AG618:AG624" si="410">"21717/1200"</f>
        <v>21717/1200</v>
      </c>
      <c r="AI618" s="10" t="str">
        <f t="shared" si="399"/>
        <v>12prem</v>
      </c>
      <c r="AJ618" s="15" t="str">
        <f>"BANBURY MUSEUMCWS tank inspection"</f>
        <v>BANBURY MUSEUMCWS tank inspection</v>
      </c>
      <c r="AK618" s="10" t="str">
        <f t="shared" si="400"/>
        <v>Revenue</v>
      </c>
      <c r="AL618" s="10" t="str">
        <f>""</f>
        <v/>
      </c>
      <c r="AM618" s="10" t="str">
        <f>""</f>
        <v/>
      </c>
      <c r="AN618" s="10" t="str">
        <f>""</f>
        <v/>
      </c>
      <c r="AO618" s="10" t="str">
        <f>""</f>
        <v/>
      </c>
    </row>
    <row r="619" spans="1:41" s="10" customFormat="1" ht="409.6">
      <c r="A619" s="9"/>
      <c r="B619" s="9"/>
      <c r="C619" s="9"/>
      <c r="D619" s="10" t="str">
        <f>"31956"</f>
        <v>31956</v>
      </c>
      <c r="E619" s="11" t="str">
        <f>""</f>
        <v/>
      </c>
      <c r="F619" s="11" t="str">
        <f t="shared" si="381"/>
        <v>372418</v>
      </c>
      <c r="G619" s="11" t="str">
        <f t="shared" si="382"/>
        <v>2017toJAN</v>
      </c>
      <c r="H619" s="11" t="str">
        <f t="shared" si="383"/>
        <v>CRSP06B</v>
      </c>
      <c r="I619" s="11" t="str">
        <f t="shared" si="384"/>
        <v>34</v>
      </c>
      <c r="J619" s="11" t="str">
        <f t="shared" si="385"/>
        <v>Creditor</v>
      </c>
      <c r="K619" s="11" t="str">
        <f t="shared" si="386"/>
        <v>CS002345</v>
      </c>
      <c r="L619" s="10" t="str">
        <f t="shared" si="387"/>
        <v xml:space="preserve">SMS Environmental </v>
      </c>
      <c r="M619" s="12" t="str">
        <f t="shared" si="407"/>
        <v>27/01/2017 00:00:00</v>
      </c>
      <c r="N619" s="12">
        <v>42762</v>
      </c>
      <c r="O619" s="10" t="str">
        <f>"C008103"</f>
        <v>C008103</v>
      </c>
      <c r="P619" s="13">
        <v>40</v>
      </c>
      <c r="Q619" s="11" t="str">
        <f>"40.0000"</f>
        <v>40.0000</v>
      </c>
      <c r="R619" s="10" t="str">
        <f t="shared" si="408"/>
        <v>C0004622</v>
      </c>
      <c r="S619" s="14" t="str">
        <f t="shared" si="409"/>
        <v>2660.4000</v>
      </c>
      <c r="T619" s="10">
        <v>21717</v>
      </c>
      <c r="U619" s="10">
        <v>1200</v>
      </c>
      <c r="V619" s="10" t="str">
        <f t="shared" si="392"/>
        <v>Repairs &amp; Maintenance</v>
      </c>
      <c r="W619" s="10" t="str">
        <f t="shared" si="393"/>
        <v>Premises Related Expenditure</v>
      </c>
      <c r="X619" s="10" t="str">
        <f>VLOOKUP(U619,'[1]Account code lookup'!A:B,2,0)</f>
        <v>Repair &amp; Maintenance</v>
      </c>
      <c r="Z619" s="10" t="str">
        <f t="shared" si="394"/>
        <v>Regeneration and Housing</v>
      </c>
      <c r="AA619" s="10" t="str">
        <f t="shared" si="395"/>
        <v>Commercial Development</v>
      </c>
      <c r="AB619" s="10" t="str">
        <f t="shared" si="396"/>
        <v>2cdb</v>
      </c>
      <c r="AD619" s="10" t="str">
        <f t="shared" si="397"/>
        <v>cdb02</v>
      </c>
      <c r="AE619" s="10" t="str">
        <f t="shared" si="398"/>
        <v>Finance &amp; Procurement / Finance</v>
      </c>
      <c r="AG619" s="10" t="str">
        <f t="shared" si="410"/>
        <v>21717/1200</v>
      </c>
      <c r="AI619" s="10" t="str">
        <f t="shared" si="399"/>
        <v>12prem</v>
      </c>
      <c r="AJ619" s="15" t="str">
        <f>"BANBURY MUSEUMShower checkpd units -  3no of visits - 2"</f>
        <v>BANBURY MUSEUMShower checkpd units -  3no of visits - 2</v>
      </c>
      <c r="AK619" s="10" t="str">
        <f t="shared" si="400"/>
        <v>Revenue</v>
      </c>
      <c r="AL619" s="10" t="str">
        <f>""</f>
        <v/>
      </c>
      <c r="AM619" s="10" t="str">
        <f>""</f>
        <v/>
      </c>
      <c r="AN619" s="10" t="str">
        <f>""</f>
        <v/>
      </c>
      <c r="AO619" s="10" t="str">
        <f>""</f>
        <v/>
      </c>
    </row>
    <row r="620" spans="1:41" s="10" customFormat="1" ht="409.6">
      <c r="A620" s="9"/>
      <c r="B620" s="9"/>
      <c r="C620" s="9"/>
      <c r="D620" s="10" t="str">
        <f>"31957"</f>
        <v>31957</v>
      </c>
      <c r="E620" s="11" t="str">
        <f>""</f>
        <v/>
      </c>
      <c r="F620" s="11" t="str">
        <f t="shared" si="381"/>
        <v>372418</v>
      </c>
      <c r="G620" s="11" t="str">
        <f t="shared" si="382"/>
        <v>2017toJAN</v>
      </c>
      <c r="H620" s="11" t="str">
        <f t="shared" si="383"/>
        <v>CRSP06B</v>
      </c>
      <c r="I620" s="11" t="str">
        <f t="shared" si="384"/>
        <v>34</v>
      </c>
      <c r="J620" s="11" t="str">
        <f t="shared" si="385"/>
        <v>Creditor</v>
      </c>
      <c r="K620" s="11" t="str">
        <f t="shared" si="386"/>
        <v>CS002345</v>
      </c>
      <c r="L620" s="10" t="str">
        <f t="shared" si="387"/>
        <v xml:space="preserve">SMS Environmental </v>
      </c>
      <c r="M620" s="12" t="str">
        <f t="shared" si="407"/>
        <v>27/01/2017 00:00:00</v>
      </c>
      <c r="N620" s="12">
        <v>42762</v>
      </c>
      <c r="O620" s="10" t="str">
        <f>"C008103"</f>
        <v>C008103</v>
      </c>
      <c r="P620" s="13">
        <v>40</v>
      </c>
      <c r="Q620" s="11" t="str">
        <f>"40.0000"</f>
        <v>40.0000</v>
      </c>
      <c r="R620" s="10" t="str">
        <f t="shared" si="408"/>
        <v>C0004622</v>
      </c>
      <c r="S620" s="14" t="str">
        <f t="shared" si="409"/>
        <v>2660.4000</v>
      </c>
      <c r="T620" s="10">
        <v>21717</v>
      </c>
      <c r="U620" s="10">
        <v>1200</v>
      </c>
      <c r="V620" s="10" t="str">
        <f t="shared" si="392"/>
        <v>Repairs &amp; Maintenance</v>
      </c>
      <c r="W620" s="10" t="str">
        <f t="shared" si="393"/>
        <v>Premises Related Expenditure</v>
      </c>
      <c r="X620" s="10" t="str">
        <f>VLOOKUP(U620,'[1]Account code lookup'!A:B,2,0)</f>
        <v>Repair &amp; Maintenance</v>
      </c>
      <c r="Z620" s="10" t="str">
        <f t="shared" si="394"/>
        <v>Regeneration and Housing</v>
      </c>
      <c r="AA620" s="10" t="str">
        <f t="shared" si="395"/>
        <v>Commercial Development</v>
      </c>
      <c r="AB620" s="10" t="str">
        <f t="shared" si="396"/>
        <v>2cdb</v>
      </c>
      <c r="AD620" s="10" t="str">
        <f t="shared" si="397"/>
        <v>cdb02</v>
      </c>
      <c r="AE620" s="10" t="str">
        <f t="shared" si="398"/>
        <v>Finance &amp; Procurement / Finance</v>
      </c>
      <c r="AG620" s="10" t="str">
        <f t="shared" si="410"/>
        <v>21717/1200</v>
      </c>
      <c r="AI620" s="10" t="str">
        <f t="shared" si="399"/>
        <v>12prem</v>
      </c>
      <c r="AJ620" s="15" t="str">
        <f>"BANBURY MUSEUMTMV fail safe check"</f>
        <v>BANBURY MUSEUMTMV fail safe check</v>
      </c>
      <c r="AK620" s="10" t="str">
        <f t="shared" si="400"/>
        <v>Revenue</v>
      </c>
      <c r="AL620" s="10" t="str">
        <f>""</f>
        <v/>
      </c>
      <c r="AM620" s="10" t="str">
        <f>""</f>
        <v/>
      </c>
      <c r="AN620" s="10" t="str">
        <f>""</f>
        <v/>
      </c>
      <c r="AO620" s="10" t="str">
        <f>""</f>
        <v/>
      </c>
    </row>
    <row r="621" spans="1:41" s="10" customFormat="1" ht="409.6">
      <c r="A621" s="9"/>
      <c r="B621" s="9"/>
      <c r="C621" s="9"/>
      <c r="D621" s="10" t="str">
        <f>"31958"</f>
        <v>31958</v>
      </c>
      <c r="E621" s="11" t="str">
        <f>""</f>
        <v/>
      </c>
      <c r="F621" s="11" t="str">
        <f t="shared" si="381"/>
        <v>372418</v>
      </c>
      <c r="G621" s="11" t="str">
        <f t="shared" si="382"/>
        <v>2017toJAN</v>
      </c>
      <c r="H621" s="11" t="str">
        <f t="shared" si="383"/>
        <v>CRSP06B</v>
      </c>
      <c r="I621" s="11" t="str">
        <f t="shared" si="384"/>
        <v>34</v>
      </c>
      <c r="J621" s="11" t="str">
        <f t="shared" si="385"/>
        <v>Creditor</v>
      </c>
      <c r="K621" s="11" t="str">
        <f t="shared" si="386"/>
        <v>CS002345</v>
      </c>
      <c r="L621" s="10" t="str">
        <f t="shared" si="387"/>
        <v xml:space="preserve">SMS Environmental </v>
      </c>
      <c r="M621" s="12" t="str">
        <f t="shared" si="407"/>
        <v>27/01/2017 00:00:00</v>
      </c>
      <c r="N621" s="12">
        <v>42762</v>
      </c>
      <c r="O621" s="10" t="str">
        <f>"C008177"</f>
        <v>C008177</v>
      </c>
      <c r="P621" s="13">
        <v>120</v>
      </c>
      <c r="Q621" s="11" t="str">
        <f>"120.0000"</f>
        <v>120.0000</v>
      </c>
      <c r="R621" s="10" t="str">
        <f t="shared" si="408"/>
        <v>C0004622</v>
      </c>
      <c r="S621" s="14" t="str">
        <f t="shared" si="409"/>
        <v>2660.4000</v>
      </c>
      <c r="T621" s="10">
        <v>21717</v>
      </c>
      <c r="U621" s="10">
        <v>1200</v>
      </c>
      <c r="V621" s="10" t="str">
        <f t="shared" si="392"/>
        <v>Repairs &amp; Maintenance</v>
      </c>
      <c r="W621" s="10" t="str">
        <f t="shared" si="393"/>
        <v>Premises Related Expenditure</v>
      </c>
      <c r="X621" s="10" t="str">
        <f>VLOOKUP(U621,'[1]Account code lookup'!A:B,2,0)</f>
        <v>Repair &amp; Maintenance</v>
      </c>
      <c r="Z621" s="10" t="str">
        <f t="shared" si="394"/>
        <v>Regeneration and Housing</v>
      </c>
      <c r="AA621" s="10" t="str">
        <f t="shared" si="395"/>
        <v>Commercial Development</v>
      </c>
      <c r="AB621" s="10" t="str">
        <f t="shared" si="396"/>
        <v>2cdb</v>
      </c>
      <c r="AD621" s="10" t="str">
        <f t="shared" si="397"/>
        <v>cdb02</v>
      </c>
      <c r="AE621" s="10" t="str">
        <f t="shared" si="398"/>
        <v>Finance &amp; Procurement / Finance</v>
      </c>
      <c r="AG621" s="10" t="str">
        <f t="shared" si="410"/>
        <v>21717/1200</v>
      </c>
      <c r="AI621" s="10" t="str">
        <f t="shared" si="399"/>
        <v>12prem</v>
      </c>
      <c r="AJ621" s="15" t="str">
        <f>"BODICOTE HOUSECWS tank inspection"</f>
        <v>BODICOTE HOUSECWS tank inspection</v>
      </c>
      <c r="AK621" s="10" t="str">
        <f t="shared" si="400"/>
        <v>Revenue</v>
      </c>
      <c r="AL621" s="10" t="str">
        <f>""</f>
        <v/>
      </c>
      <c r="AM621" s="10" t="str">
        <f>""</f>
        <v/>
      </c>
      <c r="AN621" s="10" t="str">
        <f>""</f>
        <v/>
      </c>
      <c r="AO621" s="10" t="str">
        <f>""</f>
        <v/>
      </c>
    </row>
    <row r="622" spans="1:41" s="10" customFormat="1" ht="409.6">
      <c r="A622" s="9"/>
      <c r="B622" s="9"/>
      <c r="C622" s="9"/>
      <c r="D622" s="10" t="str">
        <f>"31959"</f>
        <v>31959</v>
      </c>
      <c r="E622" s="11" t="str">
        <f>""</f>
        <v/>
      </c>
      <c r="F622" s="11" t="str">
        <f t="shared" si="381"/>
        <v>372418</v>
      </c>
      <c r="G622" s="11" t="str">
        <f t="shared" si="382"/>
        <v>2017toJAN</v>
      </c>
      <c r="H622" s="11" t="str">
        <f t="shared" si="383"/>
        <v>CRSP06B</v>
      </c>
      <c r="I622" s="11" t="str">
        <f t="shared" si="384"/>
        <v>34</v>
      </c>
      <c r="J622" s="11" t="str">
        <f t="shared" si="385"/>
        <v>Creditor</v>
      </c>
      <c r="K622" s="11" t="str">
        <f t="shared" si="386"/>
        <v>CS002345</v>
      </c>
      <c r="L622" s="10" t="str">
        <f t="shared" si="387"/>
        <v xml:space="preserve">SMS Environmental </v>
      </c>
      <c r="M622" s="12" t="str">
        <f t="shared" si="407"/>
        <v>27/01/2017 00:00:00</v>
      </c>
      <c r="N622" s="12">
        <v>42762</v>
      </c>
      <c r="O622" s="10" t="str">
        <f>"C008103"</f>
        <v>C008103</v>
      </c>
      <c r="P622" s="13">
        <v>120</v>
      </c>
      <c r="Q622" s="11" t="str">
        <f>"120.0000"</f>
        <v>120.0000</v>
      </c>
      <c r="R622" s="10" t="str">
        <f t="shared" si="408"/>
        <v>C0004622</v>
      </c>
      <c r="S622" s="14" t="str">
        <f t="shared" si="409"/>
        <v>2660.4000</v>
      </c>
      <c r="T622" s="10">
        <v>21717</v>
      </c>
      <c r="U622" s="10">
        <v>1200</v>
      </c>
      <c r="V622" s="10" t="str">
        <f t="shared" si="392"/>
        <v>Repairs &amp; Maintenance</v>
      </c>
      <c r="W622" s="10" t="str">
        <f t="shared" si="393"/>
        <v>Premises Related Expenditure</v>
      </c>
      <c r="X622" s="10" t="str">
        <f>VLOOKUP(U622,'[1]Account code lookup'!A:B,2,0)</f>
        <v>Repair &amp; Maintenance</v>
      </c>
      <c r="Z622" s="10" t="str">
        <f t="shared" si="394"/>
        <v>Regeneration and Housing</v>
      </c>
      <c r="AA622" s="10" t="str">
        <f t="shared" si="395"/>
        <v>Commercial Development</v>
      </c>
      <c r="AB622" s="10" t="str">
        <f t="shared" si="396"/>
        <v>2cdb</v>
      </c>
      <c r="AD622" s="10" t="str">
        <f t="shared" si="397"/>
        <v>cdb02</v>
      </c>
      <c r="AE622" s="10" t="str">
        <f t="shared" si="398"/>
        <v>Finance &amp; Procurement / Finance</v>
      </c>
      <c r="AG622" s="10" t="str">
        <f t="shared" si="410"/>
        <v>21717/1200</v>
      </c>
      <c r="AI622" s="10" t="str">
        <f t="shared" si="399"/>
        <v>12prem</v>
      </c>
      <c r="AJ622" s="15" t="str">
        <f>"BODICOTE HOUSETemp check Pd Septt 2016 - March 2017"</f>
        <v>BODICOTE HOUSETemp check Pd Septt 2016 - March 2017</v>
      </c>
      <c r="AK622" s="10" t="str">
        <f t="shared" si="400"/>
        <v>Revenue</v>
      </c>
      <c r="AL622" s="10" t="str">
        <f>""</f>
        <v/>
      </c>
      <c r="AM622" s="10" t="str">
        <f>""</f>
        <v/>
      </c>
      <c r="AN622" s="10" t="str">
        <f>""</f>
        <v/>
      </c>
      <c r="AO622" s="10" t="str">
        <f>""</f>
        <v/>
      </c>
    </row>
    <row r="623" spans="1:41" s="10" customFormat="1" ht="409.6">
      <c r="A623" s="9"/>
      <c r="B623" s="9"/>
      <c r="C623" s="9"/>
      <c r="D623" s="10" t="str">
        <f>"31960"</f>
        <v>31960</v>
      </c>
      <c r="E623" s="11" t="str">
        <f>""</f>
        <v/>
      </c>
      <c r="F623" s="11" t="str">
        <f t="shared" si="381"/>
        <v>372418</v>
      </c>
      <c r="G623" s="11" t="str">
        <f t="shared" si="382"/>
        <v>2017toJAN</v>
      </c>
      <c r="H623" s="11" t="str">
        <f t="shared" si="383"/>
        <v>CRSP06B</v>
      </c>
      <c r="I623" s="11" t="str">
        <f t="shared" si="384"/>
        <v>34</v>
      </c>
      <c r="J623" s="11" t="str">
        <f t="shared" si="385"/>
        <v>Creditor</v>
      </c>
      <c r="K623" s="11" t="str">
        <f t="shared" si="386"/>
        <v>CS002345</v>
      </c>
      <c r="L623" s="10" t="str">
        <f t="shared" si="387"/>
        <v xml:space="preserve">SMS Environmental </v>
      </c>
      <c r="M623" s="12" t="str">
        <f t="shared" si="407"/>
        <v>27/01/2017 00:00:00</v>
      </c>
      <c r="N623" s="12">
        <v>42762</v>
      </c>
      <c r="O623" s="10" t="str">
        <f>"C008177"</f>
        <v>C008177</v>
      </c>
      <c r="P623" s="13">
        <v>60</v>
      </c>
      <c r="Q623" s="11" t="str">
        <f t="shared" ref="Q623:Q636" si="411">"60.0000"</f>
        <v>60.0000</v>
      </c>
      <c r="R623" s="10" t="str">
        <f t="shared" si="408"/>
        <v>C0004622</v>
      </c>
      <c r="S623" s="14" t="str">
        <f t="shared" si="409"/>
        <v>2660.4000</v>
      </c>
      <c r="T623" s="10">
        <v>21717</v>
      </c>
      <c r="U623" s="10">
        <v>1200</v>
      </c>
      <c r="V623" s="10" t="str">
        <f t="shared" si="392"/>
        <v>Repairs &amp; Maintenance</v>
      </c>
      <c r="W623" s="10" t="str">
        <f t="shared" si="393"/>
        <v>Premises Related Expenditure</v>
      </c>
      <c r="X623" s="10" t="str">
        <f>VLOOKUP(U623,'[1]Account code lookup'!A:B,2,0)</f>
        <v>Repair &amp; Maintenance</v>
      </c>
      <c r="Z623" s="10" t="str">
        <f t="shared" si="394"/>
        <v>Regeneration and Housing</v>
      </c>
      <c r="AA623" s="10" t="str">
        <f t="shared" si="395"/>
        <v>Commercial Development</v>
      </c>
      <c r="AB623" s="10" t="str">
        <f t="shared" si="396"/>
        <v>2cdb</v>
      </c>
      <c r="AD623" s="10" t="str">
        <f t="shared" si="397"/>
        <v>cdb02</v>
      </c>
      <c r="AE623" s="10" t="str">
        <f t="shared" si="398"/>
        <v>Finance &amp; Procurement / Finance</v>
      </c>
      <c r="AG623" s="10" t="str">
        <f t="shared" si="410"/>
        <v>21717/1200</v>
      </c>
      <c r="AI623" s="10" t="str">
        <f t="shared" si="399"/>
        <v>12prem</v>
      </c>
      <c r="AJ623" s="15" t="str">
        <f>"OLD BODICOTE HOUSEtemp check - Sept 2016 - March 2017"</f>
        <v>OLD BODICOTE HOUSEtemp check - Sept 2016 - March 2017</v>
      </c>
      <c r="AK623" s="10" t="str">
        <f t="shared" si="400"/>
        <v>Revenue</v>
      </c>
      <c r="AL623" s="10" t="str">
        <f>""</f>
        <v/>
      </c>
      <c r="AM623" s="10" t="str">
        <f>""</f>
        <v/>
      </c>
      <c r="AN623" s="10" t="str">
        <f>""</f>
        <v/>
      </c>
      <c r="AO623" s="10" t="str">
        <f>""</f>
        <v/>
      </c>
    </row>
    <row r="624" spans="1:41" s="10" customFormat="1" ht="409.6">
      <c r="A624" s="9"/>
      <c r="B624" s="9"/>
      <c r="C624" s="9"/>
      <c r="D624" s="10" t="str">
        <f>"31961"</f>
        <v>31961</v>
      </c>
      <c r="E624" s="11" t="str">
        <f>""</f>
        <v/>
      </c>
      <c r="F624" s="11" t="str">
        <f t="shared" si="381"/>
        <v>372418</v>
      </c>
      <c r="G624" s="11" t="str">
        <f t="shared" si="382"/>
        <v>2017toJAN</v>
      </c>
      <c r="H624" s="11" t="str">
        <f t="shared" si="383"/>
        <v>CRSP06B</v>
      </c>
      <c r="I624" s="11" t="str">
        <f t="shared" si="384"/>
        <v>34</v>
      </c>
      <c r="J624" s="11" t="str">
        <f t="shared" si="385"/>
        <v>Creditor</v>
      </c>
      <c r="K624" s="11" t="str">
        <f t="shared" si="386"/>
        <v>CS002345</v>
      </c>
      <c r="L624" s="10" t="str">
        <f t="shared" si="387"/>
        <v xml:space="preserve">SMS Environmental </v>
      </c>
      <c r="M624" s="12" t="str">
        <f t="shared" si="407"/>
        <v>27/01/2017 00:00:00</v>
      </c>
      <c r="N624" s="12">
        <v>42762</v>
      </c>
      <c r="O624" s="10" t="str">
        <f>"C008103"</f>
        <v>C008103</v>
      </c>
      <c r="P624" s="13">
        <v>60</v>
      </c>
      <c r="Q624" s="11" t="str">
        <f t="shared" si="411"/>
        <v>60.0000</v>
      </c>
      <c r="R624" s="10" t="str">
        <f t="shared" si="408"/>
        <v>C0004622</v>
      </c>
      <c r="S624" s="14" t="str">
        <f t="shared" si="409"/>
        <v>2660.4000</v>
      </c>
      <c r="T624" s="10">
        <v>21717</v>
      </c>
      <c r="U624" s="10">
        <v>1200</v>
      </c>
      <c r="V624" s="10" t="str">
        <f t="shared" si="392"/>
        <v>Repairs &amp; Maintenance</v>
      </c>
      <c r="W624" s="10" t="str">
        <f t="shared" si="393"/>
        <v>Premises Related Expenditure</v>
      </c>
      <c r="X624" s="10" t="str">
        <f>VLOOKUP(U624,'[1]Account code lookup'!A:B,2,0)</f>
        <v>Repair &amp; Maintenance</v>
      </c>
      <c r="Z624" s="10" t="str">
        <f t="shared" si="394"/>
        <v>Regeneration and Housing</v>
      </c>
      <c r="AA624" s="10" t="str">
        <f t="shared" si="395"/>
        <v>Commercial Development</v>
      </c>
      <c r="AB624" s="10" t="str">
        <f t="shared" si="396"/>
        <v>2cdb</v>
      </c>
      <c r="AD624" s="10" t="str">
        <f t="shared" si="397"/>
        <v>cdb02</v>
      </c>
      <c r="AE624" s="10" t="str">
        <f t="shared" si="398"/>
        <v>Finance &amp; Procurement / Finance</v>
      </c>
      <c r="AG624" s="10" t="str">
        <f t="shared" si="410"/>
        <v>21717/1200</v>
      </c>
      <c r="AI624" s="10" t="str">
        <f t="shared" si="399"/>
        <v>12prem</v>
      </c>
      <c r="AJ624" s="15" t="str">
        <f>"OLD BODICOTE HOUSETMV fail safe check"</f>
        <v>OLD BODICOTE HOUSETMV fail safe check</v>
      </c>
      <c r="AK624" s="10" t="str">
        <f t="shared" si="400"/>
        <v>Revenue</v>
      </c>
      <c r="AL624" s="10" t="str">
        <f>""</f>
        <v/>
      </c>
      <c r="AM624" s="10" t="str">
        <f>""</f>
        <v/>
      </c>
      <c r="AN624" s="10" t="str">
        <f>""</f>
        <v/>
      </c>
      <c r="AO624" s="10" t="str">
        <f>""</f>
        <v/>
      </c>
    </row>
    <row r="625" spans="1:41" s="10" customFormat="1" ht="409.6">
      <c r="A625" s="9"/>
      <c r="B625" s="9"/>
      <c r="C625" s="9"/>
      <c r="D625" s="10" t="str">
        <f>"31962"</f>
        <v>31962</v>
      </c>
      <c r="E625" s="11" t="str">
        <f>""</f>
        <v/>
      </c>
      <c r="F625" s="11" t="str">
        <f t="shared" si="381"/>
        <v>372418</v>
      </c>
      <c r="G625" s="11" t="str">
        <f t="shared" si="382"/>
        <v>2017toJAN</v>
      </c>
      <c r="H625" s="11" t="str">
        <f t="shared" si="383"/>
        <v>CRSP06B</v>
      </c>
      <c r="I625" s="11" t="str">
        <f t="shared" si="384"/>
        <v>34</v>
      </c>
      <c r="J625" s="11" t="str">
        <f t="shared" si="385"/>
        <v>Creditor</v>
      </c>
      <c r="K625" s="11" t="str">
        <f t="shared" si="386"/>
        <v>CS002345</v>
      </c>
      <c r="L625" s="10" t="str">
        <f t="shared" si="387"/>
        <v xml:space="preserve">SMS Environmental </v>
      </c>
      <c r="M625" s="12" t="str">
        <f t="shared" si="407"/>
        <v>27/01/2017 00:00:00</v>
      </c>
      <c r="N625" s="12">
        <v>42762</v>
      </c>
      <c r="O625" s="10" t="str">
        <f>"C008177"</f>
        <v>C008177</v>
      </c>
      <c r="P625" s="13">
        <v>60</v>
      </c>
      <c r="Q625" s="11" t="str">
        <f t="shared" si="411"/>
        <v>60.0000</v>
      </c>
      <c r="R625" s="10" t="str">
        <f t="shared" si="408"/>
        <v>C0004622</v>
      </c>
      <c r="S625" s="14" t="str">
        <f t="shared" si="409"/>
        <v>2660.4000</v>
      </c>
      <c r="T625" s="10">
        <v>27038</v>
      </c>
      <c r="U625" s="10">
        <v>1200</v>
      </c>
      <c r="V625" s="10" t="str">
        <f t="shared" si="392"/>
        <v>Repairs &amp; Maintenance</v>
      </c>
      <c r="W625" s="10" t="str">
        <f t="shared" si="393"/>
        <v>Premises Related Expenditure</v>
      </c>
      <c r="X625" s="10" t="str">
        <f>VLOOKUP(U625,'[1]Account code lookup'!A:B,2,0)</f>
        <v>Repair &amp; Maintenance</v>
      </c>
      <c r="Z625" s="10" t="str">
        <f t="shared" si="394"/>
        <v>Regeneration and Housing</v>
      </c>
      <c r="AA625" s="10" t="str">
        <f t="shared" si="395"/>
        <v>Commercial Development</v>
      </c>
      <c r="AB625" s="10" t="str">
        <f t="shared" si="396"/>
        <v>2cdb</v>
      </c>
      <c r="AD625" s="10" t="str">
        <f t="shared" si="397"/>
        <v>cdb02</v>
      </c>
      <c r="AE625" s="10" t="str">
        <f t="shared" si="398"/>
        <v>Finance &amp; Procurement / Finance</v>
      </c>
      <c r="AG625" s="10" t="str">
        <f t="shared" ref="AG625:AG634" si="412">"27038/1200"</f>
        <v>27038/1200</v>
      </c>
      <c r="AI625" s="10" t="str">
        <f t="shared" si="399"/>
        <v>12prem</v>
      </c>
      <c r="AJ625" s="15" t="str">
        <f>"Bridge Sr"</f>
        <v>Bridge Sr</v>
      </c>
      <c r="AK625" s="10" t="str">
        <f t="shared" si="400"/>
        <v>Revenue</v>
      </c>
      <c r="AL625" s="10" t="str">
        <f>""</f>
        <v/>
      </c>
      <c r="AM625" s="10" t="str">
        <f>""</f>
        <v/>
      </c>
      <c r="AN625" s="10" t="str">
        <f>""</f>
        <v/>
      </c>
      <c r="AO625" s="10" t="str">
        <f>""</f>
        <v/>
      </c>
    </row>
    <row r="626" spans="1:41" s="10" customFormat="1" ht="409.6">
      <c r="A626" s="9"/>
      <c r="B626" s="9"/>
      <c r="C626" s="9"/>
      <c r="D626" s="10" t="str">
        <f>"31963"</f>
        <v>31963</v>
      </c>
      <c r="E626" s="11" t="str">
        <f>""</f>
        <v/>
      </c>
      <c r="F626" s="11" t="str">
        <f t="shared" si="381"/>
        <v>372418</v>
      </c>
      <c r="G626" s="11" t="str">
        <f t="shared" si="382"/>
        <v>2017toJAN</v>
      </c>
      <c r="H626" s="11" t="str">
        <f t="shared" si="383"/>
        <v>CRSP06B</v>
      </c>
      <c r="I626" s="11" t="str">
        <f t="shared" si="384"/>
        <v>34</v>
      </c>
      <c r="J626" s="11" t="str">
        <f t="shared" si="385"/>
        <v>Creditor</v>
      </c>
      <c r="K626" s="11" t="str">
        <f t="shared" si="386"/>
        <v>CS002345</v>
      </c>
      <c r="L626" s="10" t="str">
        <f t="shared" si="387"/>
        <v xml:space="preserve">SMS Environmental </v>
      </c>
      <c r="M626" s="12" t="str">
        <f t="shared" si="407"/>
        <v>27/01/2017 00:00:00</v>
      </c>
      <c r="N626" s="12">
        <v>42762</v>
      </c>
      <c r="O626" s="10" t="str">
        <f>"C008103"</f>
        <v>C008103</v>
      </c>
      <c r="P626" s="13">
        <v>60</v>
      </c>
      <c r="Q626" s="11" t="str">
        <f t="shared" si="411"/>
        <v>60.0000</v>
      </c>
      <c r="R626" s="10" t="str">
        <f t="shared" si="408"/>
        <v>C0004622</v>
      </c>
      <c r="S626" s="14" t="str">
        <f t="shared" si="409"/>
        <v>2660.4000</v>
      </c>
      <c r="T626" s="10">
        <v>27038</v>
      </c>
      <c r="U626" s="10">
        <v>1200</v>
      </c>
      <c r="V626" s="10" t="str">
        <f t="shared" si="392"/>
        <v>Repairs &amp; Maintenance</v>
      </c>
      <c r="W626" s="10" t="str">
        <f t="shared" si="393"/>
        <v>Premises Related Expenditure</v>
      </c>
      <c r="X626" s="10" t="str">
        <f>VLOOKUP(U626,'[1]Account code lookup'!A:B,2,0)</f>
        <v>Repair &amp; Maintenance</v>
      </c>
      <c r="Z626" s="10" t="str">
        <f t="shared" si="394"/>
        <v>Regeneration and Housing</v>
      </c>
      <c r="AA626" s="10" t="str">
        <f t="shared" si="395"/>
        <v>Commercial Development</v>
      </c>
      <c r="AB626" s="10" t="str">
        <f t="shared" si="396"/>
        <v>2cdb</v>
      </c>
      <c r="AD626" s="10" t="str">
        <f t="shared" si="397"/>
        <v>cdb02</v>
      </c>
      <c r="AE626" s="10" t="str">
        <f t="shared" si="398"/>
        <v>Finance &amp; Procurement / Finance</v>
      </c>
      <c r="AG626" s="10" t="str">
        <f t="shared" si="412"/>
        <v>27038/1200</v>
      </c>
      <c r="AI626" s="10" t="str">
        <f t="shared" si="399"/>
        <v>12prem</v>
      </c>
      <c r="AJ626" s="15" t="str">
        <f>"BRIDGE STREET PUBLIC TOILETSTemp checks Sept 2016 until March 2017"</f>
        <v>BRIDGE STREET PUBLIC TOILETSTemp checks Sept 2016 until March 2017</v>
      </c>
      <c r="AK626" s="10" t="str">
        <f t="shared" si="400"/>
        <v>Revenue</v>
      </c>
      <c r="AL626" s="10" t="str">
        <f>""</f>
        <v/>
      </c>
      <c r="AM626" s="10" t="str">
        <f>""</f>
        <v/>
      </c>
      <c r="AN626" s="10" t="str">
        <f>""</f>
        <v/>
      </c>
      <c r="AO626" s="10" t="str">
        <f>""</f>
        <v/>
      </c>
    </row>
    <row r="627" spans="1:41" s="10" customFormat="1" ht="409.6">
      <c r="A627" s="9"/>
      <c r="B627" s="9"/>
      <c r="C627" s="9"/>
      <c r="D627" s="10" t="str">
        <f>"31964"</f>
        <v>31964</v>
      </c>
      <c r="E627" s="11" t="str">
        <f>""</f>
        <v/>
      </c>
      <c r="F627" s="11" t="str">
        <f t="shared" si="381"/>
        <v>372418</v>
      </c>
      <c r="G627" s="11" t="str">
        <f t="shared" si="382"/>
        <v>2017toJAN</v>
      </c>
      <c r="H627" s="11" t="str">
        <f t="shared" si="383"/>
        <v>CRSP06B</v>
      </c>
      <c r="I627" s="11" t="str">
        <f t="shared" si="384"/>
        <v>34</v>
      </c>
      <c r="J627" s="11" t="str">
        <f t="shared" si="385"/>
        <v>Creditor</v>
      </c>
      <c r="K627" s="11" t="str">
        <f t="shared" si="386"/>
        <v>CS002345</v>
      </c>
      <c r="L627" s="10" t="str">
        <f t="shared" si="387"/>
        <v xml:space="preserve">SMS Environmental </v>
      </c>
      <c r="M627" s="12" t="str">
        <f t="shared" si="407"/>
        <v>27/01/2017 00:00:00</v>
      </c>
      <c r="N627" s="12">
        <v>42762</v>
      </c>
      <c r="O627" s="10" t="str">
        <f>"C008177"</f>
        <v>C008177</v>
      </c>
      <c r="P627" s="13">
        <v>60</v>
      </c>
      <c r="Q627" s="11" t="str">
        <f t="shared" si="411"/>
        <v>60.0000</v>
      </c>
      <c r="R627" s="10" t="str">
        <f t="shared" si="408"/>
        <v>C0004622</v>
      </c>
      <c r="S627" s="14" t="str">
        <f t="shared" si="409"/>
        <v>2660.4000</v>
      </c>
      <c r="T627" s="10">
        <v>27038</v>
      </c>
      <c r="U627" s="10">
        <v>1200</v>
      </c>
      <c r="V627" s="10" t="str">
        <f t="shared" si="392"/>
        <v>Repairs &amp; Maintenance</v>
      </c>
      <c r="W627" s="10" t="str">
        <f t="shared" si="393"/>
        <v>Premises Related Expenditure</v>
      </c>
      <c r="X627" s="10" t="str">
        <f>VLOOKUP(U627,'[1]Account code lookup'!A:B,2,0)</f>
        <v>Repair &amp; Maintenance</v>
      </c>
      <c r="Z627" s="10" t="str">
        <f t="shared" si="394"/>
        <v>Regeneration and Housing</v>
      </c>
      <c r="AA627" s="10" t="str">
        <f t="shared" si="395"/>
        <v>Commercial Development</v>
      </c>
      <c r="AB627" s="10" t="str">
        <f t="shared" si="396"/>
        <v>2cdb</v>
      </c>
      <c r="AD627" s="10" t="str">
        <f t="shared" si="397"/>
        <v>cdb02</v>
      </c>
      <c r="AE627" s="10" t="str">
        <f t="shared" si="398"/>
        <v>Finance &amp; Procurement / Finance</v>
      </c>
      <c r="AG627" s="10" t="str">
        <f t="shared" si="412"/>
        <v>27038/1200</v>
      </c>
      <c r="AI627" s="10" t="str">
        <f t="shared" si="399"/>
        <v>12prem</v>
      </c>
      <c r="AJ627" s="15" t="str">
        <f>"Bus Staiton Toilets"</f>
        <v>Bus Staiton Toilets</v>
      </c>
      <c r="AK627" s="10" t="str">
        <f t="shared" si="400"/>
        <v>Revenue</v>
      </c>
      <c r="AL627" s="10" t="str">
        <f>""</f>
        <v/>
      </c>
      <c r="AM627" s="10" t="str">
        <f>""</f>
        <v/>
      </c>
      <c r="AN627" s="10" t="str">
        <f>""</f>
        <v/>
      </c>
      <c r="AO627" s="10" t="str">
        <f>""</f>
        <v/>
      </c>
    </row>
    <row r="628" spans="1:41" s="10" customFormat="1" ht="409.6">
      <c r="A628" s="9"/>
      <c r="B628" s="9"/>
      <c r="C628" s="9"/>
      <c r="D628" s="10" t="str">
        <f>"31965"</f>
        <v>31965</v>
      </c>
      <c r="E628" s="11" t="str">
        <f>""</f>
        <v/>
      </c>
      <c r="F628" s="11" t="str">
        <f t="shared" si="381"/>
        <v>372418</v>
      </c>
      <c r="G628" s="11" t="str">
        <f t="shared" si="382"/>
        <v>2017toJAN</v>
      </c>
      <c r="H628" s="11" t="str">
        <f t="shared" si="383"/>
        <v>CRSP06B</v>
      </c>
      <c r="I628" s="11" t="str">
        <f t="shared" si="384"/>
        <v>34</v>
      </c>
      <c r="J628" s="11" t="str">
        <f t="shared" si="385"/>
        <v>Creditor</v>
      </c>
      <c r="K628" s="11" t="str">
        <f t="shared" si="386"/>
        <v>CS002345</v>
      </c>
      <c r="L628" s="10" t="str">
        <f t="shared" si="387"/>
        <v xml:space="preserve">SMS Environmental </v>
      </c>
      <c r="M628" s="12" t="str">
        <f t="shared" si="407"/>
        <v>27/01/2017 00:00:00</v>
      </c>
      <c r="N628" s="12">
        <v>42762</v>
      </c>
      <c r="O628" s="10" t="str">
        <f>"C008103"</f>
        <v>C008103</v>
      </c>
      <c r="P628" s="13">
        <v>60</v>
      </c>
      <c r="Q628" s="11" t="str">
        <f t="shared" si="411"/>
        <v>60.0000</v>
      </c>
      <c r="R628" s="10" t="str">
        <f t="shared" si="408"/>
        <v>C0004622</v>
      </c>
      <c r="S628" s="14" t="str">
        <f t="shared" si="409"/>
        <v>2660.4000</v>
      </c>
      <c r="T628" s="10">
        <v>27038</v>
      </c>
      <c r="U628" s="10">
        <v>1200</v>
      </c>
      <c r="V628" s="10" t="str">
        <f t="shared" si="392"/>
        <v>Repairs &amp; Maintenance</v>
      </c>
      <c r="W628" s="10" t="str">
        <f t="shared" si="393"/>
        <v>Premises Related Expenditure</v>
      </c>
      <c r="X628" s="10" t="str">
        <f>VLOOKUP(U628,'[1]Account code lookup'!A:B,2,0)</f>
        <v>Repair &amp; Maintenance</v>
      </c>
      <c r="Z628" s="10" t="str">
        <f t="shared" si="394"/>
        <v>Regeneration and Housing</v>
      </c>
      <c r="AA628" s="10" t="str">
        <f t="shared" si="395"/>
        <v>Commercial Development</v>
      </c>
      <c r="AB628" s="10" t="str">
        <f t="shared" si="396"/>
        <v>2cdb</v>
      </c>
      <c r="AD628" s="10" t="str">
        <f t="shared" si="397"/>
        <v>cdb02</v>
      </c>
      <c r="AE628" s="10" t="str">
        <f t="shared" si="398"/>
        <v>Finance &amp; Procurement / Finance</v>
      </c>
      <c r="AG628" s="10" t="str">
        <f t="shared" si="412"/>
        <v>27038/1200</v>
      </c>
      <c r="AI628" s="10" t="str">
        <f t="shared" si="399"/>
        <v>12prem</v>
      </c>
      <c r="AJ628" s="15" t="str">
        <f>"BUS STATION PUBLIC TOILETSTemp checks Sept 2016 until March 2017"</f>
        <v>BUS STATION PUBLIC TOILETSTemp checks Sept 2016 until March 2017</v>
      </c>
      <c r="AK628" s="10" t="str">
        <f t="shared" si="400"/>
        <v>Revenue</v>
      </c>
      <c r="AL628" s="10" t="str">
        <f>""</f>
        <v/>
      </c>
      <c r="AM628" s="10" t="str">
        <f>""</f>
        <v/>
      </c>
      <c r="AN628" s="10" t="str">
        <f>""</f>
        <v/>
      </c>
      <c r="AO628" s="10" t="str">
        <f>""</f>
        <v/>
      </c>
    </row>
    <row r="629" spans="1:41" s="10" customFormat="1" ht="409.6">
      <c r="A629" s="9"/>
      <c r="B629" s="9"/>
      <c r="C629" s="9"/>
      <c r="D629" s="10" t="str">
        <f>"31966"</f>
        <v>31966</v>
      </c>
      <c r="E629" s="11" t="str">
        <f>""</f>
        <v/>
      </c>
      <c r="F629" s="11" t="str">
        <f t="shared" si="381"/>
        <v>372418</v>
      </c>
      <c r="G629" s="11" t="str">
        <f t="shared" si="382"/>
        <v>2017toJAN</v>
      </c>
      <c r="H629" s="11" t="str">
        <f t="shared" si="383"/>
        <v>CRSP06B</v>
      </c>
      <c r="I629" s="11" t="str">
        <f t="shared" si="384"/>
        <v>34</v>
      </c>
      <c r="J629" s="11" t="str">
        <f t="shared" si="385"/>
        <v>Creditor</v>
      </c>
      <c r="K629" s="11" t="str">
        <f t="shared" si="386"/>
        <v>CS002345</v>
      </c>
      <c r="L629" s="10" t="str">
        <f t="shared" si="387"/>
        <v xml:space="preserve">SMS Environmental </v>
      </c>
      <c r="M629" s="12" t="str">
        <f t="shared" si="407"/>
        <v>27/01/2017 00:00:00</v>
      </c>
      <c r="N629" s="12">
        <v>42762</v>
      </c>
      <c r="O629" s="10" t="str">
        <f>"C008103"</f>
        <v>C008103</v>
      </c>
      <c r="P629" s="13">
        <v>60</v>
      </c>
      <c r="Q629" s="11" t="str">
        <f t="shared" si="411"/>
        <v>60.0000</v>
      </c>
      <c r="R629" s="10" t="str">
        <f t="shared" si="408"/>
        <v>C0004622</v>
      </c>
      <c r="S629" s="14" t="str">
        <f t="shared" si="409"/>
        <v>2660.4000</v>
      </c>
      <c r="T629" s="10">
        <v>27038</v>
      </c>
      <c r="U629" s="10">
        <v>1200</v>
      </c>
      <c r="V629" s="10" t="str">
        <f t="shared" si="392"/>
        <v>Repairs &amp; Maintenance</v>
      </c>
      <c r="W629" s="10" t="str">
        <f t="shared" si="393"/>
        <v>Premises Related Expenditure</v>
      </c>
      <c r="X629" s="10" t="str">
        <f>VLOOKUP(U629,'[1]Account code lookup'!A:B,2,0)</f>
        <v>Repair &amp; Maintenance</v>
      </c>
      <c r="Z629" s="10" t="str">
        <f t="shared" si="394"/>
        <v>Regeneration and Housing</v>
      </c>
      <c r="AA629" s="10" t="str">
        <f t="shared" si="395"/>
        <v>Commercial Development</v>
      </c>
      <c r="AB629" s="10" t="str">
        <f t="shared" si="396"/>
        <v>2cdb</v>
      </c>
      <c r="AD629" s="10" t="str">
        <f t="shared" si="397"/>
        <v>cdb02</v>
      </c>
      <c r="AE629" s="10" t="str">
        <f t="shared" si="398"/>
        <v>Finance &amp; Procurement / Finance</v>
      </c>
      <c r="AG629" s="10" t="str">
        <f t="shared" si="412"/>
        <v>27038/1200</v>
      </c>
      <c r="AI629" s="10" t="str">
        <f t="shared" si="399"/>
        <v>12prem</v>
      </c>
      <c r="AJ629" s="15" t="str">
        <f>"CLAREMONT  PUBLIC TOILETSRisk assessment review Sept 2016 until March 2017"</f>
        <v>CLAREMONT  PUBLIC TOILETSRisk assessment review Sept 2016 until March 2017</v>
      </c>
      <c r="AK629" s="10" t="str">
        <f t="shared" si="400"/>
        <v>Revenue</v>
      </c>
      <c r="AL629" s="10" t="str">
        <f>""</f>
        <v/>
      </c>
      <c r="AM629" s="10" t="str">
        <f>""</f>
        <v/>
      </c>
      <c r="AN629" s="10" t="str">
        <f>""</f>
        <v/>
      </c>
      <c r="AO629" s="10" t="str">
        <f>""</f>
        <v/>
      </c>
    </row>
    <row r="630" spans="1:41" s="10" customFormat="1" ht="409.6">
      <c r="A630" s="9"/>
      <c r="B630" s="9"/>
      <c r="C630" s="9"/>
      <c r="D630" s="10" t="str">
        <f>"31967"</f>
        <v>31967</v>
      </c>
      <c r="E630" s="11" t="str">
        <f>""</f>
        <v/>
      </c>
      <c r="F630" s="11" t="str">
        <f t="shared" si="381"/>
        <v>372418</v>
      </c>
      <c r="G630" s="11" t="str">
        <f t="shared" si="382"/>
        <v>2017toJAN</v>
      </c>
      <c r="H630" s="11" t="str">
        <f t="shared" si="383"/>
        <v>CRSP06B</v>
      </c>
      <c r="I630" s="11" t="str">
        <f t="shared" si="384"/>
        <v>34</v>
      </c>
      <c r="J630" s="11" t="str">
        <f t="shared" si="385"/>
        <v>Creditor</v>
      </c>
      <c r="K630" s="11" t="str">
        <f t="shared" si="386"/>
        <v>CS002345</v>
      </c>
      <c r="L630" s="10" t="str">
        <f t="shared" si="387"/>
        <v xml:space="preserve">SMS Environmental </v>
      </c>
      <c r="M630" s="12" t="str">
        <f t="shared" si="407"/>
        <v>27/01/2017 00:00:00</v>
      </c>
      <c r="N630" s="12">
        <v>42762</v>
      </c>
      <c r="O630" s="10" t="str">
        <f>"C008177"</f>
        <v>C008177</v>
      </c>
      <c r="P630" s="13">
        <v>60</v>
      </c>
      <c r="Q630" s="11" t="str">
        <f t="shared" si="411"/>
        <v>60.0000</v>
      </c>
      <c r="R630" s="10" t="str">
        <f t="shared" si="408"/>
        <v>C0004622</v>
      </c>
      <c r="S630" s="14" t="str">
        <f t="shared" si="409"/>
        <v>2660.4000</v>
      </c>
      <c r="T630" s="10">
        <v>27038</v>
      </c>
      <c r="U630" s="10">
        <v>1200</v>
      </c>
      <c r="V630" s="10" t="str">
        <f t="shared" si="392"/>
        <v>Repairs &amp; Maintenance</v>
      </c>
      <c r="W630" s="10" t="str">
        <f t="shared" si="393"/>
        <v>Premises Related Expenditure</v>
      </c>
      <c r="X630" s="10" t="str">
        <f>VLOOKUP(U630,'[1]Account code lookup'!A:B,2,0)</f>
        <v>Repair &amp; Maintenance</v>
      </c>
      <c r="Z630" s="10" t="str">
        <f t="shared" si="394"/>
        <v>Regeneration and Housing</v>
      </c>
      <c r="AA630" s="10" t="str">
        <f t="shared" si="395"/>
        <v>Commercial Development</v>
      </c>
      <c r="AB630" s="10" t="str">
        <f t="shared" si="396"/>
        <v>2cdb</v>
      </c>
      <c r="AD630" s="10" t="str">
        <f t="shared" si="397"/>
        <v>cdb02</v>
      </c>
      <c r="AE630" s="10" t="str">
        <f t="shared" si="398"/>
        <v>Finance &amp; Procurement / Finance</v>
      </c>
      <c r="AG630" s="10" t="str">
        <f t="shared" si="412"/>
        <v>27038/1200</v>
      </c>
      <c r="AI630" s="10" t="str">
        <f t="shared" si="399"/>
        <v>12prem</v>
      </c>
      <c r="AJ630" s="15" t="str">
        <f>"CLAREMONT PUBLIC TOILETSTemp checks Sept 2016 until March 2017"</f>
        <v>CLAREMONT PUBLIC TOILETSTemp checks Sept 2016 until March 2017</v>
      </c>
      <c r="AK630" s="10" t="str">
        <f t="shared" si="400"/>
        <v>Revenue</v>
      </c>
      <c r="AL630" s="10" t="str">
        <f>""</f>
        <v/>
      </c>
      <c r="AM630" s="10" t="str">
        <f>""</f>
        <v/>
      </c>
      <c r="AN630" s="10" t="str">
        <f>""</f>
        <v/>
      </c>
      <c r="AO630" s="10" t="str">
        <f>""</f>
        <v/>
      </c>
    </row>
    <row r="631" spans="1:41" s="10" customFormat="1" ht="409.6">
      <c r="A631" s="9"/>
      <c r="B631" s="9"/>
      <c r="C631" s="9"/>
      <c r="D631" s="10" t="str">
        <f>"31968"</f>
        <v>31968</v>
      </c>
      <c r="E631" s="11" t="str">
        <f>""</f>
        <v/>
      </c>
      <c r="F631" s="11" t="str">
        <f t="shared" si="381"/>
        <v>372418</v>
      </c>
      <c r="G631" s="11" t="str">
        <f t="shared" si="382"/>
        <v>2017toJAN</v>
      </c>
      <c r="H631" s="11" t="str">
        <f t="shared" si="383"/>
        <v>CRSP06B</v>
      </c>
      <c r="I631" s="11" t="str">
        <f t="shared" si="384"/>
        <v>34</v>
      </c>
      <c r="J631" s="11" t="str">
        <f t="shared" si="385"/>
        <v>Creditor</v>
      </c>
      <c r="K631" s="11" t="str">
        <f t="shared" si="386"/>
        <v>CS002345</v>
      </c>
      <c r="L631" s="10" t="str">
        <f t="shared" si="387"/>
        <v xml:space="preserve">SMS Environmental </v>
      </c>
      <c r="M631" s="12" t="str">
        <f t="shared" si="407"/>
        <v>27/01/2017 00:00:00</v>
      </c>
      <c r="N631" s="12">
        <v>42762</v>
      </c>
      <c r="O631" s="10" t="str">
        <f>"C008177"</f>
        <v>C008177</v>
      </c>
      <c r="P631" s="13">
        <v>60</v>
      </c>
      <c r="Q631" s="11" t="str">
        <f t="shared" si="411"/>
        <v>60.0000</v>
      </c>
      <c r="R631" s="10" t="str">
        <f t="shared" si="408"/>
        <v>C0004622</v>
      </c>
      <c r="S631" s="14" t="str">
        <f t="shared" si="409"/>
        <v>2660.4000</v>
      </c>
      <c r="T631" s="10">
        <v>27038</v>
      </c>
      <c r="U631" s="10">
        <v>1200</v>
      </c>
      <c r="V631" s="10" t="str">
        <f t="shared" si="392"/>
        <v>Repairs &amp; Maintenance</v>
      </c>
      <c r="W631" s="10" t="str">
        <f t="shared" si="393"/>
        <v>Premises Related Expenditure</v>
      </c>
      <c r="X631" s="10" t="str">
        <f>VLOOKUP(U631,'[1]Account code lookup'!A:B,2,0)</f>
        <v>Repair &amp; Maintenance</v>
      </c>
      <c r="Z631" s="10" t="str">
        <f t="shared" si="394"/>
        <v>Regeneration and Housing</v>
      </c>
      <c r="AA631" s="10" t="str">
        <f t="shared" si="395"/>
        <v>Commercial Development</v>
      </c>
      <c r="AB631" s="10" t="str">
        <f t="shared" si="396"/>
        <v>2cdb</v>
      </c>
      <c r="AD631" s="10" t="str">
        <f t="shared" si="397"/>
        <v>cdb02</v>
      </c>
      <c r="AE631" s="10" t="str">
        <f t="shared" si="398"/>
        <v>Finance &amp; Procurement / Finance</v>
      </c>
      <c r="AG631" s="10" t="str">
        <f t="shared" si="412"/>
        <v>27038/1200</v>
      </c>
      <c r="AI631" s="10" t="str">
        <f t="shared" si="399"/>
        <v>12prem</v>
      </c>
      <c r="AJ631" s="15" t="str">
        <f>"Curtis Place"</f>
        <v>Curtis Place</v>
      </c>
      <c r="AK631" s="10" t="str">
        <f t="shared" si="400"/>
        <v>Revenue</v>
      </c>
      <c r="AL631" s="10" t="str">
        <f>""</f>
        <v/>
      </c>
      <c r="AM631" s="10" t="str">
        <f>""</f>
        <v/>
      </c>
      <c r="AN631" s="10" t="str">
        <f>""</f>
        <v/>
      </c>
      <c r="AO631" s="10" t="str">
        <f>""</f>
        <v/>
      </c>
    </row>
    <row r="632" spans="1:41" s="10" customFormat="1" ht="409.6">
      <c r="A632" s="9"/>
      <c r="B632" s="9"/>
      <c r="C632" s="9"/>
      <c r="D632" s="10" t="str">
        <f>"31969"</f>
        <v>31969</v>
      </c>
      <c r="E632" s="11" t="str">
        <f>""</f>
        <v/>
      </c>
      <c r="F632" s="11" t="str">
        <f t="shared" si="381"/>
        <v>372418</v>
      </c>
      <c r="G632" s="11" t="str">
        <f t="shared" si="382"/>
        <v>2017toJAN</v>
      </c>
      <c r="H632" s="11" t="str">
        <f t="shared" si="383"/>
        <v>CRSP06B</v>
      </c>
      <c r="I632" s="11" t="str">
        <f t="shared" si="384"/>
        <v>34</v>
      </c>
      <c r="J632" s="11" t="str">
        <f t="shared" si="385"/>
        <v>Creditor</v>
      </c>
      <c r="K632" s="11" t="str">
        <f t="shared" si="386"/>
        <v>CS002345</v>
      </c>
      <c r="L632" s="10" t="str">
        <f t="shared" si="387"/>
        <v xml:space="preserve">SMS Environmental </v>
      </c>
      <c r="M632" s="12" t="str">
        <f t="shared" si="407"/>
        <v>27/01/2017 00:00:00</v>
      </c>
      <c r="N632" s="12">
        <v>42762</v>
      </c>
      <c r="O632" s="10" t="str">
        <f>"C008103"</f>
        <v>C008103</v>
      </c>
      <c r="P632" s="13">
        <v>60</v>
      </c>
      <c r="Q632" s="11" t="str">
        <f t="shared" si="411"/>
        <v>60.0000</v>
      </c>
      <c r="R632" s="10" t="str">
        <f t="shared" si="408"/>
        <v>C0004622</v>
      </c>
      <c r="S632" s="14" t="str">
        <f t="shared" si="409"/>
        <v>2660.4000</v>
      </c>
      <c r="T632" s="10">
        <v>27038</v>
      </c>
      <c r="U632" s="10">
        <v>1200</v>
      </c>
      <c r="V632" s="10" t="str">
        <f t="shared" si="392"/>
        <v>Repairs &amp; Maintenance</v>
      </c>
      <c r="W632" s="10" t="str">
        <f t="shared" si="393"/>
        <v>Premises Related Expenditure</v>
      </c>
      <c r="X632" s="10" t="str">
        <f>VLOOKUP(U632,'[1]Account code lookup'!A:B,2,0)</f>
        <v>Repair &amp; Maintenance</v>
      </c>
      <c r="Z632" s="10" t="str">
        <f t="shared" si="394"/>
        <v>Regeneration and Housing</v>
      </c>
      <c r="AA632" s="10" t="str">
        <f t="shared" si="395"/>
        <v>Commercial Development</v>
      </c>
      <c r="AB632" s="10" t="str">
        <f t="shared" si="396"/>
        <v>2cdb</v>
      </c>
      <c r="AD632" s="10" t="str">
        <f t="shared" si="397"/>
        <v>cdb02</v>
      </c>
      <c r="AE632" s="10" t="str">
        <f t="shared" si="398"/>
        <v>Finance &amp; Procurement / Finance</v>
      </c>
      <c r="AG632" s="10" t="str">
        <f t="shared" si="412"/>
        <v>27038/1200</v>
      </c>
      <c r="AI632" s="10" t="str">
        <f t="shared" si="399"/>
        <v>12prem</v>
      </c>
      <c r="AJ632" s="15" t="str">
        <f>"CURTIS PLACE PUBLIC TOILETSTemp checks Sept 2016 until March 2017"</f>
        <v>CURTIS PLACE PUBLIC TOILETSTemp checks Sept 2016 until March 2017</v>
      </c>
      <c r="AK632" s="10" t="str">
        <f t="shared" si="400"/>
        <v>Revenue</v>
      </c>
      <c r="AL632" s="10" t="str">
        <f>""</f>
        <v/>
      </c>
      <c r="AM632" s="10" t="str">
        <f>""</f>
        <v/>
      </c>
      <c r="AN632" s="10" t="str">
        <f>""</f>
        <v/>
      </c>
      <c r="AO632" s="10" t="str">
        <f>""</f>
        <v/>
      </c>
    </row>
    <row r="633" spans="1:41" s="10" customFormat="1" ht="409.6">
      <c r="A633" s="9"/>
      <c r="B633" s="9"/>
      <c r="C633" s="9"/>
      <c r="D633" s="10" t="str">
        <f>"31970"</f>
        <v>31970</v>
      </c>
      <c r="E633" s="11" t="str">
        <f>""</f>
        <v/>
      </c>
      <c r="F633" s="11" t="str">
        <f t="shared" si="381"/>
        <v>372418</v>
      </c>
      <c r="G633" s="11" t="str">
        <f t="shared" si="382"/>
        <v>2017toJAN</v>
      </c>
      <c r="H633" s="11" t="str">
        <f t="shared" si="383"/>
        <v>CRSP06B</v>
      </c>
      <c r="I633" s="11" t="str">
        <f t="shared" si="384"/>
        <v>34</v>
      </c>
      <c r="J633" s="11" t="str">
        <f t="shared" si="385"/>
        <v>Creditor</v>
      </c>
      <c r="K633" s="11" t="str">
        <f t="shared" si="386"/>
        <v>CS002345</v>
      </c>
      <c r="L633" s="10" t="str">
        <f t="shared" si="387"/>
        <v xml:space="preserve">SMS Environmental </v>
      </c>
      <c r="M633" s="12" t="str">
        <f t="shared" si="407"/>
        <v>27/01/2017 00:00:00</v>
      </c>
      <c r="N633" s="12">
        <v>42762</v>
      </c>
      <c r="O633" s="10" t="str">
        <f>"C008103"</f>
        <v>C008103</v>
      </c>
      <c r="P633" s="13">
        <v>60</v>
      </c>
      <c r="Q633" s="11" t="str">
        <f t="shared" si="411"/>
        <v>60.0000</v>
      </c>
      <c r="R633" s="10" t="str">
        <f t="shared" si="408"/>
        <v>C0004622</v>
      </c>
      <c r="S633" s="14" t="str">
        <f t="shared" si="409"/>
        <v>2660.4000</v>
      </c>
      <c r="T633" s="10">
        <v>27038</v>
      </c>
      <c r="U633" s="10">
        <v>1200</v>
      </c>
      <c r="V633" s="10" t="str">
        <f t="shared" si="392"/>
        <v>Repairs &amp; Maintenance</v>
      </c>
      <c r="W633" s="10" t="str">
        <f t="shared" si="393"/>
        <v>Premises Related Expenditure</v>
      </c>
      <c r="X633" s="10" t="str">
        <f>VLOOKUP(U633,'[1]Account code lookup'!A:B,2,0)</f>
        <v>Repair &amp; Maintenance</v>
      </c>
      <c r="Z633" s="10" t="str">
        <f t="shared" si="394"/>
        <v>Regeneration and Housing</v>
      </c>
      <c r="AA633" s="10" t="str">
        <f t="shared" si="395"/>
        <v>Commercial Development</v>
      </c>
      <c r="AB633" s="10" t="str">
        <f t="shared" si="396"/>
        <v>2cdb</v>
      </c>
      <c r="AD633" s="10" t="str">
        <f t="shared" si="397"/>
        <v>cdb02</v>
      </c>
      <c r="AE633" s="10" t="str">
        <f t="shared" si="398"/>
        <v>Finance &amp; Procurement / Finance</v>
      </c>
      <c r="AG633" s="10" t="str">
        <f t="shared" si="412"/>
        <v>27038/1200</v>
      </c>
      <c r="AI633" s="10" t="str">
        <f t="shared" si="399"/>
        <v>12prem</v>
      </c>
      <c r="AJ633" s="15" t="str">
        <f>"HORSEFAIR PUBLIC TOILETSRisk assessment review Sept 2016 until March 2017"</f>
        <v>HORSEFAIR PUBLIC TOILETSRisk assessment review Sept 2016 until March 2017</v>
      </c>
      <c r="AK633" s="10" t="str">
        <f t="shared" si="400"/>
        <v>Revenue</v>
      </c>
      <c r="AL633" s="10" t="str">
        <f>""</f>
        <v/>
      </c>
      <c r="AM633" s="10" t="str">
        <f>""</f>
        <v/>
      </c>
      <c r="AN633" s="10" t="str">
        <f>""</f>
        <v/>
      </c>
      <c r="AO633" s="10" t="str">
        <f>""</f>
        <v/>
      </c>
    </row>
    <row r="634" spans="1:41" s="10" customFormat="1" ht="409.6">
      <c r="A634" s="9"/>
      <c r="B634" s="9"/>
      <c r="C634" s="9"/>
      <c r="D634" s="10" t="str">
        <f>"31971"</f>
        <v>31971</v>
      </c>
      <c r="E634" s="11" t="str">
        <f>""</f>
        <v/>
      </c>
      <c r="F634" s="11" t="str">
        <f t="shared" si="381"/>
        <v>372418</v>
      </c>
      <c r="G634" s="11" t="str">
        <f t="shared" si="382"/>
        <v>2017toJAN</v>
      </c>
      <c r="H634" s="11" t="str">
        <f t="shared" si="383"/>
        <v>CRSP06B</v>
      </c>
      <c r="I634" s="11" t="str">
        <f t="shared" si="384"/>
        <v>34</v>
      </c>
      <c r="J634" s="11" t="str">
        <f t="shared" si="385"/>
        <v>Creditor</v>
      </c>
      <c r="K634" s="11" t="str">
        <f t="shared" si="386"/>
        <v>CS002345</v>
      </c>
      <c r="L634" s="10" t="str">
        <f t="shared" si="387"/>
        <v xml:space="preserve">SMS Environmental </v>
      </c>
      <c r="M634" s="12" t="str">
        <f t="shared" si="407"/>
        <v>27/01/2017 00:00:00</v>
      </c>
      <c r="N634" s="12">
        <v>42762</v>
      </c>
      <c r="O634" s="10" t="str">
        <f>"C008177"</f>
        <v>C008177</v>
      </c>
      <c r="P634" s="13">
        <v>60</v>
      </c>
      <c r="Q634" s="11" t="str">
        <f t="shared" si="411"/>
        <v>60.0000</v>
      </c>
      <c r="R634" s="10" t="str">
        <f t="shared" si="408"/>
        <v>C0004622</v>
      </c>
      <c r="S634" s="14" t="str">
        <f t="shared" si="409"/>
        <v>2660.4000</v>
      </c>
      <c r="T634" s="10">
        <v>27038</v>
      </c>
      <c r="U634" s="10">
        <v>1200</v>
      </c>
      <c r="V634" s="10" t="str">
        <f t="shared" si="392"/>
        <v>Repairs &amp; Maintenance</v>
      </c>
      <c r="W634" s="10" t="str">
        <f t="shared" si="393"/>
        <v>Premises Related Expenditure</v>
      </c>
      <c r="X634" s="10" t="str">
        <f>VLOOKUP(U634,'[1]Account code lookup'!A:B,2,0)</f>
        <v>Repair &amp; Maintenance</v>
      </c>
      <c r="Z634" s="10" t="str">
        <f t="shared" si="394"/>
        <v>Regeneration and Housing</v>
      </c>
      <c r="AA634" s="10" t="str">
        <f t="shared" si="395"/>
        <v>Commercial Development</v>
      </c>
      <c r="AB634" s="10" t="str">
        <f t="shared" si="396"/>
        <v>2cdb</v>
      </c>
      <c r="AD634" s="10" t="str">
        <f t="shared" si="397"/>
        <v>cdb02</v>
      </c>
      <c r="AE634" s="10" t="str">
        <f t="shared" si="398"/>
        <v>Finance &amp; Procurement / Finance</v>
      </c>
      <c r="AG634" s="10" t="str">
        <f t="shared" si="412"/>
        <v>27038/1200</v>
      </c>
      <c r="AI634" s="10" t="str">
        <f t="shared" si="399"/>
        <v>12prem</v>
      </c>
      <c r="AJ634" s="15" t="str">
        <f>"HORSEFAIR PUBLIC TOILETSTemp checks Sept 2016 until March 2017"</f>
        <v>HORSEFAIR PUBLIC TOILETSTemp checks Sept 2016 until March 2017</v>
      </c>
      <c r="AK634" s="10" t="str">
        <f t="shared" si="400"/>
        <v>Revenue</v>
      </c>
      <c r="AL634" s="10" t="str">
        <f>""</f>
        <v/>
      </c>
      <c r="AM634" s="10" t="str">
        <f>""</f>
        <v/>
      </c>
      <c r="AN634" s="10" t="str">
        <f>""</f>
        <v/>
      </c>
      <c r="AO634" s="10" t="str">
        <f>""</f>
        <v/>
      </c>
    </row>
    <row r="635" spans="1:41" s="10" customFormat="1" ht="409.6">
      <c r="A635" s="9"/>
      <c r="B635" s="9"/>
      <c r="C635" s="9"/>
      <c r="D635" s="10" t="str">
        <f>"31972"</f>
        <v>31972</v>
      </c>
      <c r="E635" s="11" t="str">
        <f>""</f>
        <v/>
      </c>
      <c r="F635" s="11" t="str">
        <f t="shared" si="381"/>
        <v>372418</v>
      </c>
      <c r="G635" s="11" t="str">
        <f t="shared" si="382"/>
        <v>2017toJAN</v>
      </c>
      <c r="H635" s="11" t="str">
        <f t="shared" si="383"/>
        <v>CRSP06B</v>
      </c>
      <c r="I635" s="11" t="str">
        <f t="shared" si="384"/>
        <v>34</v>
      </c>
      <c r="J635" s="11" t="str">
        <f t="shared" si="385"/>
        <v>Creditor</v>
      </c>
      <c r="K635" s="11" t="str">
        <f t="shared" si="386"/>
        <v>CS002345</v>
      </c>
      <c r="L635" s="10" t="str">
        <f t="shared" si="387"/>
        <v xml:space="preserve">SMS Environmental </v>
      </c>
      <c r="M635" s="12" t="str">
        <f t="shared" si="407"/>
        <v>27/01/2017 00:00:00</v>
      </c>
      <c r="N635" s="12">
        <v>42762</v>
      </c>
      <c r="O635" s="10" t="str">
        <f>"C008177"</f>
        <v>C008177</v>
      </c>
      <c r="P635" s="13">
        <v>60</v>
      </c>
      <c r="Q635" s="11" t="str">
        <f t="shared" si="411"/>
        <v>60.0000</v>
      </c>
      <c r="R635" s="10" t="str">
        <f t="shared" si="408"/>
        <v>C0004622</v>
      </c>
      <c r="S635" s="14" t="str">
        <f t="shared" si="409"/>
        <v>2660.4000</v>
      </c>
      <c r="T635" s="10">
        <v>29508</v>
      </c>
      <c r="U635" s="10">
        <v>1200</v>
      </c>
      <c r="V635" s="10" t="str">
        <f t="shared" si="392"/>
        <v>Repairs &amp; Maintenance</v>
      </c>
      <c r="W635" s="10" t="str">
        <f t="shared" si="393"/>
        <v>Premises Related Expenditure</v>
      </c>
      <c r="X635" s="10" t="str">
        <f>VLOOKUP(U635,'[1]Account code lookup'!A:B,2,0)</f>
        <v>Repair &amp; Maintenance</v>
      </c>
      <c r="Z635" s="10" t="str">
        <f t="shared" si="394"/>
        <v>Regeneration and Housing</v>
      </c>
      <c r="AA635" s="10" t="str">
        <f t="shared" si="395"/>
        <v>Commercial Development</v>
      </c>
      <c r="AB635" s="10" t="str">
        <f t="shared" si="396"/>
        <v>2cdb</v>
      </c>
      <c r="AD635" s="10" t="str">
        <f t="shared" si="397"/>
        <v>cdb02</v>
      </c>
      <c r="AE635" s="10" t="str">
        <f t="shared" si="398"/>
        <v>Finance &amp; Procurement / Finance</v>
      </c>
      <c r="AG635" s="10" t="str">
        <f>"29508/1200"</f>
        <v>29508/1200</v>
      </c>
      <c r="AI635" s="10" t="str">
        <f t="shared" si="399"/>
        <v>12prem</v>
      </c>
      <c r="AJ635" s="15" t="str">
        <f>"DRAYTON PAVILLIONCalorifer Drain check"</f>
        <v>DRAYTON PAVILLIONCalorifer Drain check</v>
      </c>
      <c r="AK635" s="10" t="str">
        <f t="shared" si="400"/>
        <v>Revenue</v>
      </c>
      <c r="AL635" s="10" t="str">
        <f>""</f>
        <v/>
      </c>
      <c r="AM635" s="10" t="str">
        <f>""</f>
        <v/>
      </c>
      <c r="AN635" s="10" t="str">
        <f>""</f>
        <v/>
      </c>
      <c r="AO635" s="10" t="str">
        <f>""</f>
        <v/>
      </c>
    </row>
    <row r="636" spans="1:41" s="10" customFormat="1" ht="409.6">
      <c r="A636" s="9"/>
      <c r="B636" s="9"/>
      <c r="C636" s="9"/>
      <c r="D636" s="10" t="str">
        <f>"31973"</f>
        <v>31973</v>
      </c>
      <c r="E636" s="11" t="str">
        <f>""</f>
        <v/>
      </c>
      <c r="F636" s="11" t="str">
        <f t="shared" si="381"/>
        <v>372418</v>
      </c>
      <c r="G636" s="11" t="str">
        <f t="shared" si="382"/>
        <v>2017toJAN</v>
      </c>
      <c r="H636" s="11" t="str">
        <f t="shared" si="383"/>
        <v>CRSP06B</v>
      </c>
      <c r="I636" s="11" t="str">
        <f t="shared" si="384"/>
        <v>34</v>
      </c>
      <c r="J636" s="11" t="str">
        <f t="shared" si="385"/>
        <v>Creditor</v>
      </c>
      <c r="K636" s="11" t="str">
        <f t="shared" si="386"/>
        <v>CS002345</v>
      </c>
      <c r="L636" s="10" t="str">
        <f t="shared" si="387"/>
        <v xml:space="preserve">SMS Environmental </v>
      </c>
      <c r="M636" s="12" t="str">
        <f t="shared" si="407"/>
        <v>27/01/2017 00:00:00</v>
      </c>
      <c r="N636" s="12">
        <v>42762</v>
      </c>
      <c r="O636" s="10" t="str">
        <f>"C008103"</f>
        <v>C008103</v>
      </c>
      <c r="P636" s="13">
        <v>60</v>
      </c>
      <c r="Q636" s="11" t="str">
        <f t="shared" si="411"/>
        <v>60.0000</v>
      </c>
      <c r="R636" s="10" t="str">
        <f t="shared" si="408"/>
        <v>C0004622</v>
      </c>
      <c r="S636" s="14" t="str">
        <f t="shared" si="409"/>
        <v>2660.4000</v>
      </c>
      <c r="T636" s="10">
        <v>29508</v>
      </c>
      <c r="U636" s="10">
        <v>1200</v>
      </c>
      <c r="V636" s="10" t="str">
        <f t="shared" si="392"/>
        <v>Repairs &amp; Maintenance</v>
      </c>
      <c r="W636" s="10" t="str">
        <f t="shared" si="393"/>
        <v>Premises Related Expenditure</v>
      </c>
      <c r="X636" s="10" t="str">
        <f>VLOOKUP(U636,'[1]Account code lookup'!A:B,2,0)</f>
        <v>Repair &amp; Maintenance</v>
      </c>
      <c r="Z636" s="10" t="str">
        <f t="shared" si="394"/>
        <v>Regeneration and Housing</v>
      </c>
      <c r="AA636" s="10" t="str">
        <f t="shared" si="395"/>
        <v>Commercial Development</v>
      </c>
      <c r="AB636" s="10" t="str">
        <f t="shared" si="396"/>
        <v>2cdb</v>
      </c>
      <c r="AD636" s="10" t="str">
        <f t="shared" si="397"/>
        <v>cdb02</v>
      </c>
      <c r="AE636" s="10" t="str">
        <f t="shared" si="398"/>
        <v>Finance &amp; Procurement / Finance</v>
      </c>
      <c r="AG636" s="10" t="str">
        <f>"29508/1200"</f>
        <v>29508/1200</v>
      </c>
      <c r="AI636" s="10" t="str">
        <f t="shared" si="399"/>
        <v>12prem</v>
      </c>
      <c r="AJ636" s="15" t="str">
        <f>"DRAYTON PAVILLIONCWS Tank Inspectioncheck header tanks on combi water heaters"</f>
        <v>DRAYTON PAVILLIONCWS Tank Inspectioncheck header tanks on combi water heaters</v>
      </c>
      <c r="AK636" s="10" t="str">
        <f t="shared" si="400"/>
        <v>Revenue</v>
      </c>
      <c r="AL636" s="10" t="str">
        <f>""</f>
        <v/>
      </c>
      <c r="AM636" s="10" t="str">
        <f>""</f>
        <v/>
      </c>
      <c r="AN636" s="10" t="str">
        <f>""</f>
        <v/>
      </c>
      <c r="AO636" s="10" t="str">
        <f>""</f>
        <v/>
      </c>
    </row>
    <row r="637" spans="1:41" s="10" customFormat="1" ht="409.6">
      <c r="A637" s="9"/>
      <c r="B637" s="9"/>
      <c r="C637" s="9"/>
      <c r="D637" s="10" t="str">
        <f>"31974"</f>
        <v>31974</v>
      </c>
      <c r="E637" s="11" t="str">
        <f>""</f>
        <v/>
      </c>
      <c r="F637" s="11" t="str">
        <f t="shared" si="381"/>
        <v>372418</v>
      </c>
      <c r="G637" s="11" t="str">
        <f t="shared" si="382"/>
        <v>2017toJAN</v>
      </c>
      <c r="H637" s="11" t="str">
        <f t="shared" si="383"/>
        <v>CRSP06B</v>
      </c>
      <c r="I637" s="11" t="str">
        <f t="shared" si="384"/>
        <v>34</v>
      </c>
      <c r="J637" s="11" t="str">
        <f t="shared" si="385"/>
        <v>Creditor</v>
      </c>
      <c r="K637" s="11" t="str">
        <f t="shared" si="386"/>
        <v>CS002345</v>
      </c>
      <c r="L637" s="10" t="str">
        <f t="shared" si="387"/>
        <v xml:space="preserve">SMS Environmental </v>
      </c>
      <c r="M637" s="12" t="str">
        <f t="shared" si="407"/>
        <v>27/01/2017 00:00:00</v>
      </c>
      <c r="N637" s="12">
        <v>42762</v>
      </c>
      <c r="O637" s="10" t="str">
        <f>"C008177"</f>
        <v>C008177</v>
      </c>
      <c r="P637" s="13">
        <v>160</v>
      </c>
      <c r="Q637" s="11" t="str">
        <f>"160.0000"</f>
        <v>160.0000</v>
      </c>
      <c r="R637" s="10" t="str">
        <f t="shared" si="408"/>
        <v>C0004622</v>
      </c>
      <c r="S637" s="14" t="str">
        <f t="shared" si="409"/>
        <v>2660.4000</v>
      </c>
      <c r="T637" s="10">
        <v>31012</v>
      </c>
      <c r="U637" s="10">
        <v>1200</v>
      </c>
      <c r="V637" s="10" t="str">
        <f t="shared" si="392"/>
        <v>Repairs &amp; Maintenance</v>
      </c>
      <c r="W637" s="10" t="str">
        <f t="shared" si="393"/>
        <v>Premises Related Expenditure</v>
      </c>
      <c r="X637" s="10" t="str">
        <f>VLOOKUP(U637,'[1]Account code lookup'!A:B,2,0)</f>
        <v>Repair &amp; Maintenance</v>
      </c>
      <c r="Z637" s="10" t="str">
        <f t="shared" si="394"/>
        <v>Regeneration and Housing</v>
      </c>
      <c r="AA637" s="10" t="str">
        <f t="shared" si="395"/>
        <v>Commercial Development</v>
      </c>
      <c r="AB637" s="10" t="str">
        <f t="shared" si="396"/>
        <v>2cdb</v>
      </c>
      <c r="AD637" s="10" t="str">
        <f t="shared" si="397"/>
        <v>cdb02</v>
      </c>
      <c r="AE637" s="10" t="str">
        <f t="shared" si="398"/>
        <v>Finance &amp; Procurement / Finance</v>
      </c>
      <c r="AG637" s="10" t="str">
        <f>"31012/1200"</f>
        <v>31012/1200</v>
      </c>
      <c r="AI637" s="10" t="str">
        <f t="shared" si="399"/>
        <v>12prem</v>
      </c>
      <c r="AJ637" s="15" t="str">
        <f>"Health Centre"</f>
        <v>Health Centre</v>
      </c>
      <c r="AK637" s="10" t="str">
        <f t="shared" si="400"/>
        <v>Revenue</v>
      </c>
      <c r="AL637" s="10" t="str">
        <f>""</f>
        <v/>
      </c>
      <c r="AM637" s="10" t="str">
        <f>""</f>
        <v/>
      </c>
      <c r="AN637" s="10" t="str">
        <f>""</f>
        <v/>
      </c>
      <c r="AO637" s="10" t="str">
        <f>""</f>
        <v/>
      </c>
    </row>
    <row r="638" spans="1:41" s="10" customFormat="1" ht="409.6">
      <c r="A638" s="9"/>
      <c r="B638" s="9"/>
      <c r="C638" s="9"/>
      <c r="D638" s="10" t="str">
        <f>"31975"</f>
        <v>31975</v>
      </c>
      <c r="E638" s="11" t="str">
        <f>""</f>
        <v/>
      </c>
      <c r="F638" s="11" t="str">
        <f t="shared" si="381"/>
        <v>372418</v>
      </c>
      <c r="G638" s="11" t="str">
        <f t="shared" si="382"/>
        <v>2017toJAN</v>
      </c>
      <c r="H638" s="11" t="str">
        <f t="shared" si="383"/>
        <v>CRSP06B</v>
      </c>
      <c r="I638" s="11" t="str">
        <f t="shared" si="384"/>
        <v>34</v>
      </c>
      <c r="J638" s="11" t="str">
        <f t="shared" si="385"/>
        <v>Creditor</v>
      </c>
      <c r="K638" s="11" t="str">
        <f t="shared" si="386"/>
        <v>CS002345</v>
      </c>
      <c r="L638" s="10" t="str">
        <f t="shared" si="387"/>
        <v xml:space="preserve">SMS Environmental </v>
      </c>
      <c r="M638" s="12" t="str">
        <f t="shared" si="407"/>
        <v>27/01/2017 00:00:00</v>
      </c>
      <c r="N638" s="12">
        <v>42762</v>
      </c>
      <c r="O638" s="10" t="str">
        <f>"C008103"</f>
        <v>C008103</v>
      </c>
      <c r="P638" s="13">
        <v>60</v>
      </c>
      <c r="Q638" s="11" t="str">
        <f>"60.0000"</f>
        <v>60.0000</v>
      </c>
      <c r="R638" s="10" t="str">
        <f t="shared" si="408"/>
        <v>C0004622</v>
      </c>
      <c r="S638" s="14" t="str">
        <f t="shared" si="409"/>
        <v>2660.4000</v>
      </c>
      <c r="T638" s="10">
        <v>31012</v>
      </c>
      <c r="U638" s="10">
        <v>1200</v>
      </c>
      <c r="V638" s="10" t="str">
        <f t="shared" si="392"/>
        <v>Repairs &amp; Maintenance</v>
      </c>
      <c r="W638" s="10" t="str">
        <f t="shared" si="393"/>
        <v>Premises Related Expenditure</v>
      </c>
      <c r="X638" s="10" t="str">
        <f>VLOOKUP(U638,'[1]Account code lookup'!A:B,2,0)</f>
        <v>Repair &amp; Maintenance</v>
      </c>
      <c r="Z638" s="10" t="str">
        <f t="shared" si="394"/>
        <v>Regeneration and Housing</v>
      </c>
      <c r="AA638" s="10" t="str">
        <f t="shared" si="395"/>
        <v>Commercial Development</v>
      </c>
      <c r="AB638" s="10" t="str">
        <f t="shared" si="396"/>
        <v>2cdb</v>
      </c>
      <c r="AD638" s="10" t="str">
        <f t="shared" si="397"/>
        <v>cdb02</v>
      </c>
      <c r="AE638" s="10" t="str">
        <f t="shared" si="398"/>
        <v>Finance &amp; Procurement / Finance</v>
      </c>
      <c r="AG638" s="10" t="str">
        <f>"31012/1200"</f>
        <v>31012/1200</v>
      </c>
      <c r="AI638" s="10" t="str">
        <f t="shared" si="399"/>
        <v>12prem</v>
      </c>
      <c r="AJ638" s="15" t="str">
        <f>"S/C BANBURY HEALTH CENTRETemp checkSept 2016 - March 2017"</f>
        <v>S/C BANBURY HEALTH CENTRETemp checkSept 2016 - March 2017</v>
      </c>
      <c r="AK638" s="10" t="str">
        <f t="shared" si="400"/>
        <v>Revenue</v>
      </c>
      <c r="AL638" s="10" t="str">
        <f>""</f>
        <v/>
      </c>
      <c r="AM638" s="10" t="str">
        <f>""</f>
        <v/>
      </c>
      <c r="AN638" s="10" t="str">
        <f>""</f>
        <v/>
      </c>
      <c r="AO638" s="10" t="str">
        <f>""</f>
        <v/>
      </c>
    </row>
    <row r="639" spans="1:41" s="10" customFormat="1" ht="409.6">
      <c r="A639" s="9"/>
      <c r="B639" s="9"/>
      <c r="C639" s="9"/>
      <c r="D639" s="10" t="str">
        <f>"31976"</f>
        <v>31976</v>
      </c>
      <c r="E639" s="11" t="str">
        <f>""</f>
        <v/>
      </c>
      <c r="F639" s="11" t="str">
        <f t="shared" si="381"/>
        <v>372418</v>
      </c>
      <c r="G639" s="11" t="str">
        <f t="shared" si="382"/>
        <v>2017toJAN</v>
      </c>
      <c r="H639" s="11" t="str">
        <f t="shared" si="383"/>
        <v>CRSP06B</v>
      </c>
      <c r="I639" s="11" t="str">
        <f t="shared" si="384"/>
        <v>34</v>
      </c>
      <c r="J639" s="11" t="str">
        <f t="shared" si="385"/>
        <v>Creditor</v>
      </c>
      <c r="K639" s="11" t="str">
        <f t="shared" si="386"/>
        <v>CS002345</v>
      </c>
      <c r="L639" s="10" t="str">
        <f t="shared" si="387"/>
        <v xml:space="preserve">SMS Environmental </v>
      </c>
      <c r="M639" s="12" t="str">
        <f t="shared" si="407"/>
        <v>27/01/2017 00:00:00</v>
      </c>
      <c r="N639" s="12">
        <v>42762</v>
      </c>
      <c r="O639" s="10" t="str">
        <f>"C007845"</f>
        <v>C007845</v>
      </c>
      <c r="P639" s="13">
        <v>60</v>
      </c>
      <c r="Q639" s="11" t="str">
        <f>"60.0000"</f>
        <v>60.0000</v>
      </c>
      <c r="R639" s="10" t="str">
        <f t="shared" si="408"/>
        <v>C0004622</v>
      </c>
      <c r="S639" s="14" t="str">
        <f t="shared" si="409"/>
        <v>2660.4000</v>
      </c>
      <c r="T639" s="10">
        <v>31013</v>
      </c>
      <c r="U639" s="10">
        <v>1200</v>
      </c>
      <c r="V639" s="10" t="str">
        <f t="shared" si="392"/>
        <v>Repairs &amp; Maintenance</v>
      </c>
      <c r="W639" s="10" t="str">
        <f t="shared" si="393"/>
        <v>Premises Related Expenditure</v>
      </c>
      <c r="X639" s="10" t="str">
        <f>VLOOKUP(U639,'[1]Account code lookup'!A:B,2,0)</f>
        <v>Repair &amp; Maintenance</v>
      </c>
      <c r="Z639" s="10" t="str">
        <f t="shared" si="394"/>
        <v>Regeneration and Housing</v>
      </c>
      <c r="AA639" s="10" t="str">
        <f t="shared" si="395"/>
        <v>Commercial Development</v>
      </c>
      <c r="AB639" s="10" t="str">
        <f t="shared" si="396"/>
        <v>2cdb</v>
      </c>
      <c r="AD639" s="10" t="str">
        <f t="shared" si="397"/>
        <v>cdb02</v>
      </c>
      <c r="AE639" s="10" t="str">
        <f t="shared" si="398"/>
        <v>Finance &amp; Procurement / Finance</v>
      </c>
      <c r="AG639" s="10" t="str">
        <f>"31013/1200"</f>
        <v>31013/1200</v>
      </c>
      <c r="AI639" s="10" t="str">
        <f t="shared" si="399"/>
        <v>12prem</v>
      </c>
      <c r="AJ639" s="15" t="str">
        <f>"FRANKLIN HOUSE_x000D_
_x000D_
Monthly temperature checks taken from all outlets £60 per visit Septemeber, October, Novemeber December, January, February and March_x000D_
£420.00"</f>
        <v>FRANKLIN HOUSE_x000D_
_x000D_
Monthly temperature checks taken from all outlets £60 per visit Septemeber, October, Novemeber December, January, February and March_x000D_
£420.00</v>
      </c>
      <c r="AK639" s="10" t="str">
        <f t="shared" si="400"/>
        <v>Revenue</v>
      </c>
      <c r="AL639" s="10" t="str">
        <f>""</f>
        <v/>
      </c>
      <c r="AM639" s="10" t="str">
        <f>""</f>
        <v/>
      </c>
      <c r="AN639" s="10" t="str">
        <f>""</f>
        <v/>
      </c>
      <c r="AO639" s="10" t="str">
        <f>""</f>
        <v/>
      </c>
    </row>
    <row r="640" spans="1:41" s="10" customFormat="1" ht="409.6">
      <c r="A640" s="9"/>
      <c r="B640" s="9"/>
      <c r="C640" s="9"/>
      <c r="D640" s="10" t="str">
        <f>"31977"</f>
        <v>31977</v>
      </c>
      <c r="E640" s="11" t="str">
        <f>""</f>
        <v/>
      </c>
      <c r="F640" s="11" t="str">
        <f t="shared" si="381"/>
        <v>372418</v>
      </c>
      <c r="G640" s="11" t="str">
        <f t="shared" si="382"/>
        <v>2017toJAN</v>
      </c>
      <c r="H640" s="11" t="str">
        <f t="shared" si="383"/>
        <v>CRSP06B</v>
      </c>
      <c r="I640" s="11" t="str">
        <f t="shared" si="384"/>
        <v>34</v>
      </c>
      <c r="J640" s="11" t="str">
        <f t="shared" si="385"/>
        <v>Creditor</v>
      </c>
      <c r="K640" s="11" t="str">
        <f t="shared" si="386"/>
        <v>CS002345</v>
      </c>
      <c r="L640" s="10" t="str">
        <f t="shared" si="387"/>
        <v xml:space="preserve">SMS Environmental </v>
      </c>
      <c r="M640" s="12" t="str">
        <f t="shared" si="407"/>
        <v>27/01/2017 00:00:00</v>
      </c>
      <c r="N640" s="12">
        <v>42762</v>
      </c>
      <c r="O640" s="10" t="str">
        <f>"C007845"</f>
        <v>C007845</v>
      </c>
      <c r="P640" s="13">
        <v>20</v>
      </c>
      <c r="Q640" s="11" t="str">
        <f>"20.0000"</f>
        <v>20.0000</v>
      </c>
      <c r="R640" s="10" t="str">
        <f t="shared" si="408"/>
        <v>C0004622</v>
      </c>
      <c r="S640" s="14" t="str">
        <f t="shared" si="409"/>
        <v>2660.4000</v>
      </c>
      <c r="T640" s="10">
        <v>31013</v>
      </c>
      <c r="U640" s="10">
        <v>1200</v>
      </c>
      <c r="V640" s="10" t="str">
        <f t="shared" si="392"/>
        <v>Repairs &amp; Maintenance</v>
      </c>
      <c r="W640" s="10" t="str">
        <f t="shared" si="393"/>
        <v>Premises Related Expenditure</v>
      </c>
      <c r="X640" s="10" t="str">
        <f>VLOOKUP(U640,'[1]Account code lookup'!A:B,2,0)</f>
        <v>Repair &amp; Maintenance</v>
      </c>
      <c r="Z640" s="10" t="str">
        <f t="shared" si="394"/>
        <v>Regeneration and Housing</v>
      </c>
      <c r="AA640" s="10" t="str">
        <f t="shared" si="395"/>
        <v>Commercial Development</v>
      </c>
      <c r="AB640" s="10" t="str">
        <f t="shared" si="396"/>
        <v>2cdb</v>
      </c>
      <c r="AD640" s="10" t="str">
        <f t="shared" si="397"/>
        <v>cdb02</v>
      </c>
      <c r="AE640" s="10" t="str">
        <f t="shared" si="398"/>
        <v>Finance &amp; Procurement / Finance</v>
      </c>
      <c r="AG640" s="10" t="str">
        <f>"31013/1200"</f>
        <v>31013/1200</v>
      </c>
      <c r="AI640" s="10" t="str">
        <f t="shared" si="399"/>
        <v>12prem</v>
      </c>
      <c r="AJ640" s="15" t="str">
        <f>"FRANKLIN HOUSE_x000D_
_x000D_
Quote No QT7462_x000D_
_x000D_
quarterly shower head descale £20 per visit Visit in Septemeber, December and March"</f>
        <v>FRANKLIN HOUSE_x000D_
_x000D_
Quote No QT7462_x000D_
_x000D_
quarterly shower head descale £20 per visit Visit in Septemeber, December and March</v>
      </c>
      <c r="AK640" s="10" t="str">
        <f t="shared" si="400"/>
        <v>Revenue</v>
      </c>
      <c r="AL640" s="10" t="str">
        <f>""</f>
        <v/>
      </c>
      <c r="AM640" s="10" t="str">
        <f>""</f>
        <v/>
      </c>
      <c r="AN640" s="10" t="str">
        <f>""</f>
        <v/>
      </c>
      <c r="AO640" s="10" t="str">
        <f>""</f>
        <v/>
      </c>
    </row>
    <row r="641" spans="1:41" s="10" customFormat="1" ht="409.6">
      <c r="A641" s="9"/>
      <c r="B641" s="9"/>
      <c r="C641" s="9"/>
      <c r="D641" s="10" t="str">
        <f>"31978"</f>
        <v>31978</v>
      </c>
      <c r="E641" s="11" t="str">
        <f>""</f>
        <v/>
      </c>
      <c r="F641" s="11" t="str">
        <f t="shared" si="381"/>
        <v>372418</v>
      </c>
      <c r="G641" s="11" t="str">
        <f t="shared" si="382"/>
        <v>2017toJAN</v>
      </c>
      <c r="H641" s="11" t="str">
        <f t="shared" si="383"/>
        <v>CRSP06B</v>
      </c>
      <c r="I641" s="11" t="str">
        <f t="shared" si="384"/>
        <v>34</v>
      </c>
      <c r="J641" s="11" t="str">
        <f t="shared" si="385"/>
        <v>Creditor</v>
      </c>
      <c r="K641" s="11" t="str">
        <f t="shared" si="386"/>
        <v>CS002345</v>
      </c>
      <c r="L641" s="10" t="str">
        <f t="shared" si="387"/>
        <v xml:space="preserve">SMS Environmental </v>
      </c>
      <c r="M641" s="12" t="str">
        <f t="shared" si="407"/>
        <v>27/01/2017 00:00:00</v>
      </c>
      <c r="N641" s="12">
        <v>42762</v>
      </c>
      <c r="O641" s="10" t="str">
        <f>"C008103"</f>
        <v>C008103</v>
      </c>
      <c r="P641" s="13">
        <v>60</v>
      </c>
      <c r="Q641" s="11" t="str">
        <f>"60.0000"</f>
        <v>60.0000</v>
      </c>
      <c r="R641" s="10" t="str">
        <f t="shared" si="408"/>
        <v>C0004622</v>
      </c>
      <c r="S641" s="14" t="str">
        <f t="shared" si="409"/>
        <v>2660.4000</v>
      </c>
      <c r="T641" s="10">
        <v>31013</v>
      </c>
      <c r="U641" s="10">
        <v>1200</v>
      </c>
      <c r="V641" s="10" t="str">
        <f t="shared" si="392"/>
        <v>Repairs &amp; Maintenance</v>
      </c>
      <c r="W641" s="10" t="str">
        <f t="shared" si="393"/>
        <v>Premises Related Expenditure</v>
      </c>
      <c r="X641" s="10" t="str">
        <f>VLOOKUP(U641,'[1]Account code lookup'!A:B,2,0)</f>
        <v>Repair &amp; Maintenance</v>
      </c>
      <c r="Z641" s="10" t="str">
        <f t="shared" si="394"/>
        <v>Regeneration and Housing</v>
      </c>
      <c r="AA641" s="10" t="str">
        <f t="shared" si="395"/>
        <v>Commercial Development</v>
      </c>
      <c r="AB641" s="10" t="str">
        <f t="shared" si="396"/>
        <v>2cdb</v>
      </c>
      <c r="AD641" s="10" t="str">
        <f t="shared" si="397"/>
        <v>cdb02</v>
      </c>
      <c r="AE641" s="10" t="str">
        <f t="shared" si="398"/>
        <v>Finance &amp; Procurement / Finance</v>
      </c>
      <c r="AG641" s="10" t="str">
        <f>"31013/1200"</f>
        <v>31013/1200</v>
      </c>
      <c r="AI641" s="10" t="str">
        <f t="shared" si="399"/>
        <v>12prem</v>
      </c>
      <c r="AJ641" s="15" t="str">
        <f>"PIONEER SQSystem flushpd units 6no of visits - 1"</f>
        <v>PIONEER SQSystem flushpd units 6no of visits - 1</v>
      </c>
      <c r="AK641" s="10" t="str">
        <f t="shared" si="400"/>
        <v>Revenue</v>
      </c>
      <c r="AL641" s="10" t="str">
        <f>""</f>
        <v/>
      </c>
      <c r="AM641" s="10" t="str">
        <f>""</f>
        <v/>
      </c>
      <c r="AN641" s="10" t="str">
        <f>""</f>
        <v/>
      </c>
      <c r="AO641" s="10" t="str">
        <f>""</f>
        <v/>
      </c>
    </row>
    <row r="642" spans="1:41" s="10" customFormat="1" ht="409.6">
      <c r="A642" s="9"/>
      <c r="B642" s="9"/>
      <c r="C642" s="9"/>
      <c r="D642" s="10" t="str">
        <f>"31979"</f>
        <v>31979</v>
      </c>
      <c r="E642" s="11" t="str">
        <f>""</f>
        <v/>
      </c>
      <c r="F642" s="11" t="str">
        <f t="shared" si="381"/>
        <v>372418</v>
      </c>
      <c r="G642" s="11" t="str">
        <f t="shared" si="382"/>
        <v>2017toJAN</v>
      </c>
      <c r="H642" s="11" t="str">
        <f t="shared" si="383"/>
        <v>CRSP06B</v>
      </c>
      <c r="I642" s="11" t="str">
        <f t="shared" si="384"/>
        <v>34</v>
      </c>
      <c r="J642" s="11" t="str">
        <f t="shared" si="385"/>
        <v>Creditor</v>
      </c>
      <c r="K642" s="11" t="str">
        <f t="shared" si="386"/>
        <v>CS002345</v>
      </c>
      <c r="L642" s="10" t="str">
        <f t="shared" si="387"/>
        <v xml:space="preserve">SMS Environmental </v>
      </c>
      <c r="M642" s="12" t="str">
        <f t="shared" si="407"/>
        <v>27/01/2017 00:00:00</v>
      </c>
      <c r="N642" s="12">
        <v>42762</v>
      </c>
      <c r="O642" s="10" t="str">
        <f>"C008177"</f>
        <v>C008177</v>
      </c>
      <c r="P642" s="13">
        <v>60</v>
      </c>
      <c r="Q642" s="11" t="str">
        <f>"60.0000"</f>
        <v>60.0000</v>
      </c>
      <c r="R642" s="10" t="str">
        <f t="shared" si="408"/>
        <v>C0004622</v>
      </c>
      <c r="S642" s="14" t="str">
        <f t="shared" si="409"/>
        <v>2660.4000</v>
      </c>
      <c r="T642" s="10">
        <v>31013</v>
      </c>
      <c r="U642" s="10">
        <v>1200</v>
      </c>
      <c r="V642" s="10" t="str">
        <f t="shared" si="392"/>
        <v>Repairs &amp; Maintenance</v>
      </c>
      <c r="W642" s="10" t="str">
        <f t="shared" si="393"/>
        <v>Premises Related Expenditure</v>
      </c>
      <c r="X642" s="10" t="str">
        <f>VLOOKUP(U642,'[1]Account code lookup'!A:B,2,0)</f>
        <v>Repair &amp; Maintenance</v>
      </c>
      <c r="Z642" s="10" t="str">
        <f t="shared" si="394"/>
        <v>Regeneration and Housing</v>
      </c>
      <c r="AA642" s="10" t="str">
        <f t="shared" si="395"/>
        <v>Commercial Development</v>
      </c>
      <c r="AB642" s="10" t="str">
        <f t="shared" si="396"/>
        <v>2cdb</v>
      </c>
      <c r="AD642" s="10" t="str">
        <f t="shared" si="397"/>
        <v>cdb02</v>
      </c>
      <c r="AE642" s="10" t="str">
        <f t="shared" si="398"/>
        <v>Finance &amp; Procurement / Finance</v>
      </c>
      <c r="AG642" s="10" t="str">
        <f>"31013/1200"</f>
        <v>31013/1200</v>
      </c>
      <c r="AI642" s="10" t="str">
        <f t="shared" si="399"/>
        <v>12prem</v>
      </c>
      <c r="AJ642" s="15" t="str">
        <f>"PIONEER SQTMV fail safe check"</f>
        <v>PIONEER SQTMV fail safe check</v>
      </c>
      <c r="AK642" s="10" t="str">
        <f t="shared" si="400"/>
        <v>Revenue</v>
      </c>
      <c r="AL642" s="10" t="str">
        <f>""</f>
        <v/>
      </c>
      <c r="AM642" s="10" t="str">
        <f>""</f>
        <v/>
      </c>
      <c r="AN642" s="10" t="str">
        <f>""</f>
        <v/>
      </c>
      <c r="AO642" s="10" t="str">
        <f>""</f>
        <v/>
      </c>
    </row>
    <row r="643" spans="1:41" s="10" customFormat="1" ht="409.6">
      <c r="A643" s="9"/>
      <c r="B643" s="9"/>
      <c r="C643" s="9"/>
      <c r="D643" s="10" t="str">
        <f>"31980"</f>
        <v>31980</v>
      </c>
      <c r="E643" s="11" t="str">
        <f>""</f>
        <v/>
      </c>
      <c r="F643" s="11" t="str">
        <f t="shared" ref="F643:F696" si="413">"372418"</f>
        <v>372418</v>
      </c>
      <c r="G643" s="11" t="str">
        <f t="shared" ref="G643:G696" si="414">"2017toJAN"</f>
        <v>2017toJAN</v>
      </c>
      <c r="H643" s="11" t="str">
        <f t="shared" ref="H643:H696" si="415">"CRSP06B"</f>
        <v>CRSP06B</v>
      </c>
      <c r="I643" s="11" t="str">
        <f t="shared" ref="I643:I696" si="416">"34"</f>
        <v>34</v>
      </c>
      <c r="J643" s="11" t="str">
        <f t="shared" ref="J643:J696" si="417">"Creditor"</f>
        <v>Creditor</v>
      </c>
      <c r="K643" s="11" t="str">
        <f>"CS001581"</f>
        <v>CS001581</v>
      </c>
      <c r="L643" s="10" t="str">
        <f>"Solid Structures"</f>
        <v>Solid Structures</v>
      </c>
      <c r="M643" s="12" t="str">
        <f>"20/01/2017 00:00:00"</f>
        <v>20/01/2017 00:00:00</v>
      </c>
      <c r="N643" s="12">
        <v>42755</v>
      </c>
      <c r="O643" s="10" t="str">
        <f>"C007877"</f>
        <v>C007877</v>
      </c>
      <c r="P643" s="13">
        <v>425</v>
      </c>
      <c r="Q643" s="11" t="str">
        <f>"425.0000"</f>
        <v>425.0000</v>
      </c>
      <c r="R643" s="10" t="str">
        <f>"C0004505"</f>
        <v>C0004505</v>
      </c>
      <c r="S643" s="14" t="str">
        <f>"510.0000"</f>
        <v>510.0000</v>
      </c>
      <c r="T643" s="10">
        <v>40117</v>
      </c>
      <c r="U643" s="10">
        <v>4100</v>
      </c>
      <c r="V643" s="10" t="str">
        <f>"Capital Works"</f>
        <v>Capital Works</v>
      </c>
      <c r="W643" s="10" t="str">
        <f>"Capital Works"</f>
        <v>Capital Works</v>
      </c>
      <c r="X643" s="10" t="str">
        <f>VLOOKUP(U643,'[1]Account code lookup'!A:B,2,0)</f>
        <v>Contractors Capital Payments</v>
      </c>
      <c r="Z643" s="10" t="str">
        <f>"Capital Regen and Housing"</f>
        <v>Capital Regen and Housing</v>
      </c>
      <c r="AA643" s="10" t="str">
        <f>"Commercial Development Capital"</f>
        <v>Commercial Development Capital</v>
      </c>
      <c r="AB643" s="10" t="str">
        <f>"c2cdb"</f>
        <v>c2cdb</v>
      </c>
      <c r="AD643" s="10" t="str">
        <f>"ccdb02"</f>
        <v>ccdb02</v>
      </c>
      <c r="AE643" s="10" t="str">
        <f>"Regeneration &amp; Housing / Delivery Team"</f>
        <v>Regeneration &amp; Housing / Delivery Team</v>
      </c>
      <c r="AG643" s="10" t="str">
        <f>"40117/4100"</f>
        <v>40117/4100</v>
      </c>
      <c r="AI643" s="10" t="str">
        <f>"41cwrk"</f>
        <v>41cwrk</v>
      </c>
      <c r="AJ643" s="15" t="str">
        <f>"TOWN CENTRE HOUSE:_x000D_
Provide structural engineering design to create new opening for reception hatch, including obtaining Building Regulations approval."</f>
        <v>TOWN CENTRE HOUSE:_x000D_
Provide structural engineering design to create new opening for reception hatch, including obtaining Building Regulations approval.</v>
      </c>
      <c r="AK643" s="10" t="str">
        <f>"Capital"</f>
        <v>Capital</v>
      </c>
      <c r="AL643" s="10" t="str">
        <f>""</f>
        <v/>
      </c>
      <c r="AM643" s="10" t="str">
        <f>""</f>
        <v/>
      </c>
      <c r="AN643" s="10" t="str">
        <f>""</f>
        <v/>
      </c>
      <c r="AO643" s="10" t="str">
        <f>""</f>
        <v/>
      </c>
    </row>
    <row r="644" spans="1:41" s="10" customFormat="1" ht="409.6">
      <c r="A644" s="9"/>
      <c r="B644" s="9"/>
      <c r="C644" s="9"/>
      <c r="D644" s="10" t="str">
        <f>"31982"</f>
        <v>31982</v>
      </c>
      <c r="E644" s="11" t="str">
        <f>""</f>
        <v/>
      </c>
      <c r="F644" s="11" t="str">
        <f t="shared" si="413"/>
        <v>372418</v>
      </c>
      <c r="G644" s="11" t="str">
        <f t="shared" si="414"/>
        <v>2017toJAN</v>
      </c>
      <c r="H644" s="11" t="str">
        <f t="shared" si="415"/>
        <v>CRSP06B</v>
      </c>
      <c r="I644" s="11" t="str">
        <f t="shared" si="416"/>
        <v>34</v>
      </c>
      <c r="J644" s="11" t="str">
        <f t="shared" si="417"/>
        <v>Creditor</v>
      </c>
      <c r="K644" s="11" t="str">
        <f t="shared" ref="K644:K656" si="418">"CS002043"</f>
        <v>CS002043</v>
      </c>
      <c r="L644" s="10" t="str">
        <f t="shared" ref="L644:L656" si="419">"Thames Valley Cleaning Services Ltd"</f>
        <v>Thames Valley Cleaning Services Ltd</v>
      </c>
      <c r="M644" s="12" t="str">
        <f>"13/01/2017 00:00:00"</f>
        <v>13/01/2017 00:00:00</v>
      </c>
      <c r="N644" s="12">
        <v>42748</v>
      </c>
      <c r="O644" s="10" t="str">
        <f>"C007481"</f>
        <v>C007481</v>
      </c>
      <c r="P644" s="13">
        <v>37.44</v>
      </c>
      <c r="Q644" s="11" t="str">
        <f>"37.4400"</f>
        <v>37.4400</v>
      </c>
      <c r="R644" s="10" t="str">
        <f>"C0004416"</f>
        <v>C0004416</v>
      </c>
      <c r="S644" s="14" t="str">
        <f>"835.3700"</f>
        <v>835.3700</v>
      </c>
      <c r="T644" s="10">
        <v>21715</v>
      </c>
      <c r="U644" s="10">
        <v>1270</v>
      </c>
      <c r="V644" s="10" t="str">
        <f>"Cleaning &amp; domestic supplies"</f>
        <v>Cleaning &amp; domestic supplies</v>
      </c>
      <c r="W644" s="10" t="str">
        <f>"Premises Related Expenditure"</f>
        <v>Premises Related Expenditure</v>
      </c>
      <c r="X644" s="10" t="str">
        <f>VLOOKUP(U644,'[1]Account code lookup'!A:B,2,0)</f>
        <v>Cleaning Materials Direct Purchase</v>
      </c>
      <c r="Z644" s="10" t="str">
        <f>"Regeneration and Housing"</f>
        <v>Regeneration and Housing</v>
      </c>
      <c r="AA644" s="10" t="str">
        <f>"Commercial Development"</f>
        <v>Commercial Development</v>
      </c>
      <c r="AB644" s="10" t="str">
        <f>"2cdb"</f>
        <v>2cdb</v>
      </c>
      <c r="AD644" s="10" t="str">
        <f>"cdb02"</f>
        <v>cdb02</v>
      </c>
      <c r="AE644" s="10" t="str">
        <f>"Finance &amp; Procurement / Finance"</f>
        <v>Finance &amp; Procurement / Finance</v>
      </c>
      <c r="AG644" s="10" t="str">
        <f>"21715/1270"</f>
        <v>21715/1270</v>
      </c>
      <c r="AI644" s="10" t="str">
        <f>"12prem"</f>
        <v>12prem</v>
      </c>
      <c r="AJ644" s="15" t="str">
        <f>"HIGHFIELD DEPOT_x000D_
_x000D_
supply 2 Packs of Mini Jumbo Toilet Rolls x 12 Rolls  @ £18.72 + VAT, Total Cost £37.44 + VAT"</f>
        <v>HIGHFIELD DEPOT_x000D_
_x000D_
supply 2 Packs of Mini Jumbo Toilet Rolls x 12 Rolls  @ £18.72 + VAT, Total Cost £37.44 + VAT</v>
      </c>
      <c r="AK644" s="10" t="str">
        <f>"Revenue"</f>
        <v>Revenue</v>
      </c>
      <c r="AL644" s="10" t="str">
        <f>""</f>
        <v/>
      </c>
      <c r="AM644" s="10" t="str">
        <f>""</f>
        <v/>
      </c>
      <c r="AN644" s="10" t="str">
        <f>""</f>
        <v/>
      </c>
      <c r="AO644" s="10" t="str">
        <f>""</f>
        <v/>
      </c>
    </row>
    <row r="645" spans="1:41" s="10" customFormat="1" ht="409.6">
      <c r="A645" s="9"/>
      <c r="B645" s="9"/>
      <c r="C645" s="9"/>
      <c r="D645" s="10" t="str">
        <f>"31983"</f>
        <v>31983</v>
      </c>
      <c r="E645" s="11" t="str">
        <f>""</f>
        <v/>
      </c>
      <c r="F645" s="11" t="str">
        <f t="shared" si="413"/>
        <v>372418</v>
      </c>
      <c r="G645" s="11" t="str">
        <f t="shared" si="414"/>
        <v>2017toJAN</v>
      </c>
      <c r="H645" s="11" t="str">
        <f t="shared" si="415"/>
        <v>CRSP06B</v>
      </c>
      <c r="I645" s="11" t="str">
        <f t="shared" si="416"/>
        <v>34</v>
      </c>
      <c r="J645" s="11" t="str">
        <f t="shared" si="417"/>
        <v>Creditor</v>
      </c>
      <c r="K645" s="11" t="str">
        <f t="shared" si="418"/>
        <v>CS002043</v>
      </c>
      <c r="L645" s="10" t="str">
        <f t="shared" si="419"/>
        <v>Thames Valley Cleaning Services Ltd</v>
      </c>
      <c r="M645" s="12" t="str">
        <f>"13/01/2017 00:00:00"</f>
        <v>13/01/2017 00:00:00</v>
      </c>
      <c r="N645" s="12">
        <v>42748</v>
      </c>
      <c r="O645" s="10" t="str">
        <f>"C007338"</f>
        <v>C007338</v>
      </c>
      <c r="P645" s="13">
        <v>430.91</v>
      </c>
      <c r="Q645" s="11" t="str">
        <f>"430.9100"</f>
        <v>430.9100</v>
      </c>
      <c r="R645" s="10" t="str">
        <f>"C0004416"</f>
        <v>C0004416</v>
      </c>
      <c r="S645" s="14" t="str">
        <f>"835.3700"</f>
        <v>835.3700</v>
      </c>
      <c r="T645" s="10">
        <v>31012</v>
      </c>
      <c r="U645" s="10">
        <v>1270</v>
      </c>
      <c r="V645" s="10" t="str">
        <f>"Cleaning &amp; domestic supplies"</f>
        <v>Cleaning &amp; domestic supplies</v>
      </c>
      <c r="W645" s="10" t="str">
        <f>"Premises Related Expenditure"</f>
        <v>Premises Related Expenditure</v>
      </c>
      <c r="X645" s="10" t="str">
        <f>VLOOKUP(U645,'[1]Account code lookup'!A:B,2,0)</f>
        <v>Cleaning Materials Direct Purchase</v>
      </c>
      <c r="Z645" s="10" t="str">
        <f>"Regeneration and Housing"</f>
        <v>Regeneration and Housing</v>
      </c>
      <c r="AA645" s="10" t="str">
        <f>"Commercial Development"</f>
        <v>Commercial Development</v>
      </c>
      <c r="AB645" s="10" t="str">
        <f>"2cdb"</f>
        <v>2cdb</v>
      </c>
      <c r="AD645" s="10" t="str">
        <f>"cdb02"</f>
        <v>cdb02</v>
      </c>
      <c r="AE645" s="10" t="str">
        <f>"Finance &amp; Procurement / Finance"</f>
        <v>Finance &amp; Procurement / Finance</v>
      </c>
      <c r="AG645" s="10" t="str">
        <f>"31012/1270"</f>
        <v>31012/1270</v>
      </c>
      <c r="AI645" s="10" t="str">
        <f>"12prem"</f>
        <v>12prem</v>
      </c>
      <c r="AJ645" s="15" t="str">
        <f>"S/C BANBURY HEALTH CENTRE_x000D_
_x000D_
cleaning materials for Oct 2016_x000D_
_x000D_
Qty	Product	Unit Cost £	Total Cost £_x000D_
10	White Katrin Hand Towels	23.40	234.00_x000D_
3	Mini Jumbo Toilet Rolls x 12Pk	18.72	56.16_x000D_
2	Black Bags x 200	16.60	33.20_x000D_
1	White Bin Liners x 1,000	16.60	"</f>
        <v xml:space="preserve">S/C BANBURY HEALTH CENTRE_x000D_
_x000D_
cleaning materials for Oct 2016_x000D_
_x000D_
Qty	Product	Unit Cost £	Total Cost £_x000D_
10	White Katrin Hand Towels	23.40	234.00_x000D_
3	Mini Jumbo Toilet Rolls x 12Pk	18.72	56.16_x000D_
2	Black Bags x 200	16.60	33.20_x000D_
1	White Bin Liners x 1,000	16.60	</v>
      </c>
      <c r="AK645" s="10" t="str">
        <f>"Revenue"</f>
        <v>Revenue</v>
      </c>
      <c r="AL645" s="10" t="str">
        <f>""</f>
        <v/>
      </c>
      <c r="AM645" s="10" t="str">
        <f>""</f>
        <v/>
      </c>
      <c r="AN645" s="10" t="str">
        <f>""</f>
        <v/>
      </c>
      <c r="AO645" s="10" t="str">
        <f>""</f>
        <v/>
      </c>
    </row>
    <row r="646" spans="1:41" s="10" customFormat="1" ht="409.6">
      <c r="A646" s="9"/>
      <c r="B646" s="9"/>
      <c r="C646" s="9"/>
      <c r="D646" s="10" t="str">
        <f>"31984"</f>
        <v>31984</v>
      </c>
      <c r="E646" s="11" t="str">
        <f>""</f>
        <v/>
      </c>
      <c r="F646" s="11" t="str">
        <f t="shared" si="413"/>
        <v>372418</v>
      </c>
      <c r="G646" s="11" t="str">
        <f t="shared" si="414"/>
        <v>2017toJAN</v>
      </c>
      <c r="H646" s="11" t="str">
        <f t="shared" si="415"/>
        <v>CRSP06B</v>
      </c>
      <c r="I646" s="11" t="str">
        <f t="shared" si="416"/>
        <v>34</v>
      </c>
      <c r="J646" s="11" t="str">
        <f t="shared" si="417"/>
        <v>Creditor</v>
      </c>
      <c r="K646" s="11" t="str">
        <f t="shared" si="418"/>
        <v>CS002043</v>
      </c>
      <c r="L646" s="10" t="str">
        <f t="shared" si="419"/>
        <v>Thames Valley Cleaning Services Ltd</v>
      </c>
      <c r="M646" s="12" t="str">
        <f>"13/01/2017 00:00:00"</f>
        <v>13/01/2017 00:00:00</v>
      </c>
      <c r="N646" s="12">
        <v>42748</v>
      </c>
      <c r="O646" s="10" t="str">
        <f>"C007337"</f>
        <v>C007337</v>
      </c>
      <c r="P646" s="13">
        <v>173.79</v>
      </c>
      <c r="Q646" s="11" t="str">
        <f>"173.7900"</f>
        <v>173.7900</v>
      </c>
      <c r="R646" s="10" t="str">
        <f>"C0004416"</f>
        <v>C0004416</v>
      </c>
      <c r="S646" s="14" t="str">
        <f>"835.3700"</f>
        <v>835.3700</v>
      </c>
      <c r="T646" s="10">
        <v>31012</v>
      </c>
      <c r="U646" s="10">
        <v>1270</v>
      </c>
      <c r="V646" s="10" t="str">
        <f>"Cleaning &amp; domestic supplies"</f>
        <v>Cleaning &amp; domestic supplies</v>
      </c>
      <c r="W646" s="10" t="str">
        <f>"Premises Related Expenditure"</f>
        <v>Premises Related Expenditure</v>
      </c>
      <c r="X646" s="10" t="str">
        <f>VLOOKUP(U646,'[1]Account code lookup'!A:B,2,0)</f>
        <v>Cleaning Materials Direct Purchase</v>
      </c>
      <c r="Z646" s="10" t="str">
        <f>"Regeneration and Housing"</f>
        <v>Regeneration and Housing</v>
      </c>
      <c r="AA646" s="10" t="str">
        <f>"Commercial Development"</f>
        <v>Commercial Development</v>
      </c>
      <c r="AB646" s="10" t="str">
        <f>"2cdb"</f>
        <v>2cdb</v>
      </c>
      <c r="AD646" s="10" t="str">
        <f>"cdb02"</f>
        <v>cdb02</v>
      </c>
      <c r="AE646" s="10" t="str">
        <f>"Finance &amp; Procurement / Finance"</f>
        <v>Finance &amp; Procurement / Finance</v>
      </c>
      <c r="AG646" s="10" t="str">
        <f>"31012/1270"</f>
        <v>31012/1270</v>
      </c>
      <c r="AI646" s="10" t="str">
        <f>"12prem"</f>
        <v>12prem</v>
      </c>
      <c r="AJ646" s="15" t="str">
        <f>"s/c BANBURY HEALTH CENTRE_x000D_
_x000D_
Nov 2016_x000D_
cleaning materials_x000D_
_x000D_
Qty	Product	Unit Cost £	Total Cost £_x000D_
2	Mini Jumbo Toilet Rolls 12Pk	18.72	37.44_x000D_
5	White Katrin Hand Towels	23.40	      117.00_x000D_
1	Black Refuse Sacks x 200	16.60	16.60_x000D_
1	Washing up Liquid x 5L	"</f>
        <v xml:space="preserve">s/c BANBURY HEALTH CENTRE_x000D_
_x000D_
Nov 2016_x000D_
cleaning materials_x000D_
_x000D_
Qty	Product	Unit Cost £	Total Cost £_x000D_
2	Mini Jumbo Toilet Rolls 12Pk	18.72	37.44_x000D_
5	White Katrin Hand Towels	23.40	      117.00_x000D_
1	Black Refuse Sacks x 200	16.60	16.60_x000D_
1	Washing up Liquid x 5L	</v>
      </c>
      <c r="AK646" s="10" t="str">
        <f>"Revenue"</f>
        <v>Revenue</v>
      </c>
      <c r="AL646" s="10" t="str">
        <f>""</f>
        <v/>
      </c>
      <c r="AM646" s="10" t="str">
        <f>""</f>
        <v/>
      </c>
      <c r="AN646" s="10" t="str">
        <f>""</f>
        <v/>
      </c>
      <c r="AO646" s="10" t="str">
        <f>""</f>
        <v/>
      </c>
    </row>
    <row r="647" spans="1:41" s="10" customFormat="1" ht="409.6">
      <c r="A647" s="9"/>
      <c r="B647" s="9"/>
      <c r="C647" s="9"/>
      <c r="D647" s="10" t="str">
        <f>"31985"</f>
        <v>31985</v>
      </c>
      <c r="E647" s="11" t="str">
        <f>""</f>
        <v/>
      </c>
      <c r="F647" s="11" t="str">
        <f t="shared" si="413"/>
        <v>372418</v>
      </c>
      <c r="G647" s="11" t="str">
        <f t="shared" si="414"/>
        <v>2017toJAN</v>
      </c>
      <c r="H647" s="11" t="str">
        <f t="shared" si="415"/>
        <v>CRSP06B</v>
      </c>
      <c r="I647" s="11" t="str">
        <f t="shared" si="416"/>
        <v>34</v>
      </c>
      <c r="J647" s="11" t="str">
        <f t="shared" si="417"/>
        <v>Creditor</v>
      </c>
      <c r="K647" s="11" t="str">
        <f t="shared" si="418"/>
        <v>CS002043</v>
      </c>
      <c r="L647" s="10" t="str">
        <f t="shared" si="419"/>
        <v>Thames Valley Cleaning Services Ltd</v>
      </c>
      <c r="M647" s="12" t="str">
        <f>"13/01/2017 00:00:00"</f>
        <v>13/01/2017 00:00:00</v>
      </c>
      <c r="N647" s="12">
        <v>42748</v>
      </c>
      <c r="O647" s="10" t="str">
        <f>"C007844"</f>
        <v>C007844</v>
      </c>
      <c r="P647" s="13">
        <v>54</v>
      </c>
      <c r="Q647" s="11" t="str">
        <f>"54.0000"</f>
        <v>54.0000</v>
      </c>
      <c r="R647" s="10" t="str">
        <f>"C0004416"</f>
        <v>C0004416</v>
      </c>
      <c r="S647" s="14" t="str">
        <f>"835.3700"</f>
        <v>835.3700</v>
      </c>
      <c r="T647" s="10">
        <v>40105</v>
      </c>
      <c r="U647" s="10">
        <v>4100</v>
      </c>
      <c r="V647" s="10" t="str">
        <f>"Capital Works"</f>
        <v>Capital Works</v>
      </c>
      <c r="W647" s="10" t="str">
        <f>"Capital Works"</f>
        <v>Capital Works</v>
      </c>
      <c r="X647" s="10" t="str">
        <f>VLOOKUP(U647,'[1]Account code lookup'!A:B,2,0)</f>
        <v>Contractors Capital Payments</v>
      </c>
      <c r="Z647" s="10" t="str">
        <f>"Capital Regen and Housing"</f>
        <v>Capital Regen and Housing</v>
      </c>
      <c r="AA647" s="10" t="str">
        <f>"Commercial Development Capital"</f>
        <v>Commercial Development Capital</v>
      </c>
      <c r="AB647" s="10" t="str">
        <f>"c2cdb"</f>
        <v>c2cdb</v>
      </c>
      <c r="AD647" s="10" t="str">
        <f>"ccdb02"</f>
        <v>ccdb02</v>
      </c>
      <c r="AE647" s="10" t="str">
        <f>"Finance &amp; Procurement / Finance"</f>
        <v>Finance &amp; Procurement / Finance</v>
      </c>
      <c r="AG647" s="10" t="str">
        <f>"40105/4100"</f>
        <v>40105/4100</v>
      </c>
      <c r="AI647" s="10" t="str">
        <f>"41cwrk"</f>
        <v>41cwrk</v>
      </c>
      <c r="AJ647" s="15" t="str">
        <f>"Cleaning at St. Leonards House"</f>
        <v>Cleaning at St. Leonards House</v>
      </c>
      <c r="AK647" s="10" t="str">
        <f>"Capital"</f>
        <v>Capital</v>
      </c>
      <c r="AL647" s="10" t="str">
        <f>""</f>
        <v/>
      </c>
      <c r="AM647" s="10" t="str">
        <f>""</f>
        <v/>
      </c>
      <c r="AN647" s="10" t="str">
        <f>""</f>
        <v/>
      </c>
      <c r="AO647" s="10" t="str">
        <f>""</f>
        <v/>
      </c>
    </row>
    <row r="648" spans="1:41" s="10" customFormat="1" ht="409.6">
      <c r="A648" s="9"/>
      <c r="B648" s="9"/>
      <c r="C648" s="9"/>
      <c r="D648" s="10" t="str">
        <f>"31986"</f>
        <v>31986</v>
      </c>
      <c r="E648" s="11" t="str">
        <f>""</f>
        <v/>
      </c>
      <c r="F648" s="11" t="str">
        <f t="shared" si="413"/>
        <v>372418</v>
      </c>
      <c r="G648" s="11" t="str">
        <f t="shared" si="414"/>
        <v>2017toJAN</v>
      </c>
      <c r="H648" s="11" t="str">
        <f t="shared" si="415"/>
        <v>CRSP06B</v>
      </c>
      <c r="I648" s="11" t="str">
        <f t="shared" si="416"/>
        <v>34</v>
      </c>
      <c r="J648" s="11" t="str">
        <f t="shared" si="417"/>
        <v>Creditor</v>
      </c>
      <c r="K648" s="11" t="str">
        <f t="shared" si="418"/>
        <v>CS002043</v>
      </c>
      <c r="L648" s="10" t="str">
        <f t="shared" si="419"/>
        <v>Thames Valley Cleaning Services Ltd</v>
      </c>
      <c r="M648" s="12" t="str">
        <f>"20/01/2017 00:00:00"</f>
        <v>20/01/2017 00:00:00</v>
      </c>
      <c r="N648" s="12">
        <v>42755</v>
      </c>
      <c r="O648" s="10" t="str">
        <f>"C007994"</f>
        <v>C007994</v>
      </c>
      <c r="P648" s="13">
        <v>128</v>
      </c>
      <c r="Q648" s="11" t="str">
        <f>"128.0000"</f>
        <v>128.0000</v>
      </c>
      <c r="R648" s="10" t="str">
        <f>"C0004509"</f>
        <v>C0004509</v>
      </c>
      <c r="S648" s="14" t="str">
        <f>"1215.6000"</f>
        <v>1215.6000</v>
      </c>
      <c r="T648" s="10">
        <v>28307</v>
      </c>
      <c r="U648" s="10">
        <v>1271</v>
      </c>
      <c r="V648" s="10" t="str">
        <f t="shared" ref="V648:V656" si="420">"Cleaning &amp; domestic supplies"</f>
        <v>Cleaning &amp; domestic supplies</v>
      </c>
      <c r="W648" s="10" t="str">
        <f t="shared" ref="W648:W656" si="421">"Premises Related Expenditure"</f>
        <v>Premises Related Expenditure</v>
      </c>
      <c r="X648" s="10" t="str">
        <f>VLOOKUP(U648,'[1]Account code lookup'!A:B,2,0)</f>
        <v>Contract Cleaning</v>
      </c>
      <c r="Z648" s="10" t="str">
        <f t="shared" ref="Z648:Z656" si="422">"Regeneration and Housing"</f>
        <v>Regeneration and Housing</v>
      </c>
      <c r="AA648" s="10" t="str">
        <f t="shared" ref="AA648:AA656" si="423">"Commercial Development"</f>
        <v>Commercial Development</v>
      </c>
      <c r="AB648" s="10" t="str">
        <f t="shared" ref="AB648:AB656" si="424">"2cdb"</f>
        <v>2cdb</v>
      </c>
      <c r="AD648" s="10" t="str">
        <f t="shared" ref="AD648:AD656" si="425">"cdb02"</f>
        <v>cdb02</v>
      </c>
      <c r="AE648" s="10" t="str">
        <f>"Regeneration &amp; Housing / Delivery Team"</f>
        <v>Regeneration &amp; Housing / Delivery Team</v>
      </c>
      <c r="AG648" s="10" t="str">
        <f>"28307/1271"</f>
        <v>28307/1271</v>
      </c>
      <c r="AI648" s="10" t="str">
        <f t="shared" ref="AI648:AI656" si="426">"12prem"</f>
        <v>12prem</v>
      </c>
      <c r="AJ648" s="15" t="str">
        <f>"Calthorpe House - September_x000D_
Fortnightly clean - monthly internal window clean"</f>
        <v>Calthorpe House - September_x000D_
Fortnightly clean - monthly internal window clean</v>
      </c>
      <c r="AK648" s="10" t="str">
        <f t="shared" ref="AK648:AK667" si="427">"Revenue"</f>
        <v>Revenue</v>
      </c>
      <c r="AL648" s="10" t="str">
        <f>""</f>
        <v/>
      </c>
      <c r="AM648" s="10" t="str">
        <f>""</f>
        <v/>
      </c>
      <c r="AN648" s="10" t="str">
        <f>""</f>
        <v/>
      </c>
      <c r="AO648" s="10" t="str">
        <f>""</f>
        <v/>
      </c>
    </row>
    <row r="649" spans="1:41" s="10" customFormat="1" ht="409.6">
      <c r="A649" s="9"/>
      <c r="B649" s="9"/>
      <c r="C649" s="9"/>
      <c r="D649" s="10" t="str">
        <f>"31987"</f>
        <v>31987</v>
      </c>
      <c r="E649" s="11" t="str">
        <f>""</f>
        <v/>
      </c>
      <c r="F649" s="11" t="str">
        <f t="shared" si="413"/>
        <v>372418</v>
      </c>
      <c r="G649" s="11" t="str">
        <f t="shared" si="414"/>
        <v>2017toJAN</v>
      </c>
      <c r="H649" s="11" t="str">
        <f t="shared" si="415"/>
        <v>CRSP06B</v>
      </c>
      <c r="I649" s="11" t="str">
        <f t="shared" si="416"/>
        <v>34</v>
      </c>
      <c r="J649" s="11" t="str">
        <f t="shared" si="417"/>
        <v>Creditor</v>
      </c>
      <c r="K649" s="11" t="str">
        <f t="shared" si="418"/>
        <v>CS002043</v>
      </c>
      <c r="L649" s="10" t="str">
        <f t="shared" si="419"/>
        <v>Thames Valley Cleaning Services Ltd</v>
      </c>
      <c r="M649" s="12" t="str">
        <f>"20/01/2017 00:00:00"</f>
        <v>20/01/2017 00:00:00</v>
      </c>
      <c r="N649" s="12">
        <v>42755</v>
      </c>
      <c r="O649" s="10" t="str">
        <f>"C008009"</f>
        <v>C008009</v>
      </c>
      <c r="P649" s="13">
        <v>45</v>
      </c>
      <c r="Q649" s="11" t="str">
        <f>"45.0000"</f>
        <v>45.0000</v>
      </c>
      <c r="R649" s="10" t="str">
        <f>"C0004509"</f>
        <v>C0004509</v>
      </c>
      <c r="S649" s="14" t="str">
        <f>"1215.6000"</f>
        <v>1215.6000</v>
      </c>
      <c r="T649" s="10">
        <v>31013</v>
      </c>
      <c r="U649" s="10">
        <v>1271</v>
      </c>
      <c r="V649" s="10" t="str">
        <f t="shared" si="420"/>
        <v>Cleaning &amp; domestic supplies</v>
      </c>
      <c r="W649" s="10" t="str">
        <f t="shared" si="421"/>
        <v>Premises Related Expenditure</v>
      </c>
      <c r="X649" s="10" t="str">
        <f>VLOOKUP(U649,'[1]Account code lookup'!A:B,2,0)</f>
        <v>Contract Cleaning</v>
      </c>
      <c r="Z649" s="10" t="str">
        <f t="shared" si="422"/>
        <v>Regeneration and Housing</v>
      </c>
      <c r="AA649" s="10" t="str">
        <f t="shared" si="423"/>
        <v>Commercial Development</v>
      </c>
      <c r="AB649" s="10" t="str">
        <f t="shared" si="424"/>
        <v>2cdb</v>
      </c>
      <c r="AD649" s="10" t="str">
        <f t="shared" si="425"/>
        <v>cdb02</v>
      </c>
      <c r="AE649" s="10" t="str">
        <f>"Regeneration &amp; Housing / Assets &amp; Facilities Management"</f>
        <v>Regeneration &amp; Housing / Assets &amp; Facilities Management</v>
      </c>
      <c r="AG649" s="10" t="str">
        <f>"31013/1271"</f>
        <v>31013/1271</v>
      </c>
      <c r="AI649" s="10" t="str">
        <f t="shared" si="426"/>
        <v>12prem</v>
      </c>
      <c r="AJ649" s="15" t="str">
        <f>""</f>
        <v/>
      </c>
      <c r="AK649" s="10" t="str">
        <f t="shared" si="427"/>
        <v>Revenue</v>
      </c>
      <c r="AL649" s="10" t="str">
        <f>""</f>
        <v/>
      </c>
      <c r="AM649" s="10" t="str">
        <f>""</f>
        <v/>
      </c>
      <c r="AN649" s="10" t="str">
        <f>""</f>
        <v/>
      </c>
      <c r="AO649" s="10" t="str">
        <f>""</f>
        <v/>
      </c>
    </row>
    <row r="650" spans="1:41" s="10" customFormat="1" ht="409.6">
      <c r="A650" s="9"/>
      <c r="B650" s="9"/>
      <c r="C650" s="9"/>
      <c r="D650" s="10" t="str">
        <f>"31988"</f>
        <v>31988</v>
      </c>
      <c r="E650" s="11" t="str">
        <f>""</f>
        <v/>
      </c>
      <c r="F650" s="11" t="str">
        <f t="shared" si="413"/>
        <v>372418</v>
      </c>
      <c r="G650" s="11" t="str">
        <f t="shared" si="414"/>
        <v>2017toJAN</v>
      </c>
      <c r="H650" s="11" t="str">
        <f t="shared" si="415"/>
        <v>CRSP06B</v>
      </c>
      <c r="I650" s="11" t="str">
        <f t="shared" si="416"/>
        <v>34</v>
      </c>
      <c r="J650" s="11" t="str">
        <f t="shared" si="417"/>
        <v>Creditor</v>
      </c>
      <c r="K650" s="11" t="str">
        <f t="shared" si="418"/>
        <v>CS002043</v>
      </c>
      <c r="L650" s="10" t="str">
        <f t="shared" si="419"/>
        <v>Thames Valley Cleaning Services Ltd</v>
      </c>
      <c r="M650" s="12" t="str">
        <f>"20/01/2017 00:00:00"</f>
        <v>20/01/2017 00:00:00</v>
      </c>
      <c r="N650" s="12">
        <v>42755</v>
      </c>
      <c r="O650" s="10" t="str">
        <f>"C008010"</f>
        <v>C008010</v>
      </c>
      <c r="P650" s="13">
        <v>840</v>
      </c>
      <c r="Q650" s="11" t="str">
        <f>"840.0000"</f>
        <v>840.0000</v>
      </c>
      <c r="R650" s="10" t="str">
        <f>"C0004509"</f>
        <v>C0004509</v>
      </c>
      <c r="S650" s="14" t="str">
        <f>"1215.6000"</f>
        <v>1215.6000</v>
      </c>
      <c r="T650" s="10">
        <v>31013</v>
      </c>
      <c r="U650" s="10">
        <v>1271</v>
      </c>
      <c r="V650" s="10" t="str">
        <f t="shared" si="420"/>
        <v>Cleaning &amp; domestic supplies</v>
      </c>
      <c r="W650" s="10" t="str">
        <f t="shared" si="421"/>
        <v>Premises Related Expenditure</v>
      </c>
      <c r="X650" s="10" t="str">
        <f>VLOOKUP(U650,'[1]Account code lookup'!A:B,2,0)</f>
        <v>Contract Cleaning</v>
      </c>
      <c r="Z650" s="10" t="str">
        <f t="shared" si="422"/>
        <v>Regeneration and Housing</v>
      </c>
      <c r="AA650" s="10" t="str">
        <f t="shared" si="423"/>
        <v>Commercial Development</v>
      </c>
      <c r="AB650" s="10" t="str">
        <f t="shared" si="424"/>
        <v>2cdb</v>
      </c>
      <c r="AD650" s="10" t="str">
        <f t="shared" si="425"/>
        <v>cdb02</v>
      </c>
      <c r="AE650" s="10" t="str">
        <f>"Regeneration &amp; Housing / Assets &amp; Facilities Management"</f>
        <v>Regeneration &amp; Housing / Assets &amp; Facilities Management</v>
      </c>
      <c r="AG650" s="10" t="str">
        <f>"31013/1271"</f>
        <v>31013/1271</v>
      </c>
      <c r="AI650" s="10" t="str">
        <f t="shared" si="426"/>
        <v>12prem</v>
      </c>
      <c r="AJ650" s="15" t="str">
        <f>""</f>
        <v/>
      </c>
      <c r="AK650" s="10" t="str">
        <f t="shared" si="427"/>
        <v>Revenue</v>
      </c>
      <c r="AL650" s="10" t="str">
        <f>""</f>
        <v/>
      </c>
      <c r="AM650" s="10" t="str">
        <f>""</f>
        <v/>
      </c>
      <c r="AN650" s="10" t="str">
        <f>""</f>
        <v/>
      </c>
      <c r="AO650" s="10" t="str">
        <f>""</f>
        <v/>
      </c>
    </row>
    <row r="651" spans="1:41" s="10" customFormat="1" ht="409.6">
      <c r="A651" s="9"/>
      <c r="B651" s="9"/>
      <c r="C651" s="9"/>
      <c r="D651" s="10" t="str">
        <f>"31989"</f>
        <v>31989</v>
      </c>
      <c r="E651" s="11" t="str">
        <f>""</f>
        <v/>
      </c>
      <c r="F651" s="11" t="str">
        <f t="shared" si="413"/>
        <v>372418</v>
      </c>
      <c r="G651" s="11" t="str">
        <f t="shared" si="414"/>
        <v>2017toJAN</v>
      </c>
      <c r="H651" s="11" t="str">
        <f t="shared" si="415"/>
        <v>CRSP06B</v>
      </c>
      <c r="I651" s="11" t="str">
        <f t="shared" si="416"/>
        <v>34</v>
      </c>
      <c r="J651" s="11" t="str">
        <f t="shared" si="417"/>
        <v>Creditor</v>
      </c>
      <c r="K651" s="11" t="str">
        <f t="shared" si="418"/>
        <v>CS002043</v>
      </c>
      <c r="L651" s="10" t="str">
        <f t="shared" si="419"/>
        <v>Thames Valley Cleaning Services Ltd</v>
      </c>
      <c r="M651" s="12" t="str">
        <f t="shared" ref="M651:M656" si="428">"27/01/2017 00:00:00"</f>
        <v>27/01/2017 00:00:00</v>
      </c>
      <c r="N651" s="12">
        <v>42762</v>
      </c>
      <c r="O651" s="10" t="str">
        <f>"C007811"</f>
        <v>C007811</v>
      </c>
      <c r="P651" s="13">
        <v>390</v>
      </c>
      <c r="Q651" s="11" t="str">
        <f>"390.0000"</f>
        <v>390.0000</v>
      </c>
      <c r="R651" s="10" t="str">
        <f t="shared" ref="R651:R656" si="429">"C0004617"</f>
        <v>C0004617</v>
      </c>
      <c r="S651" s="14" t="str">
        <f t="shared" ref="S651:S656" si="430">"4892.9400"</f>
        <v>4892.9400</v>
      </c>
      <c r="T651" s="10">
        <v>21715</v>
      </c>
      <c r="U651" s="10">
        <v>1271</v>
      </c>
      <c r="V651" s="10" t="str">
        <f t="shared" si="420"/>
        <v>Cleaning &amp; domestic supplies</v>
      </c>
      <c r="W651" s="10" t="str">
        <f t="shared" si="421"/>
        <v>Premises Related Expenditure</v>
      </c>
      <c r="X651" s="10" t="str">
        <f>VLOOKUP(U651,'[1]Account code lookup'!A:B,2,0)</f>
        <v>Contract Cleaning</v>
      </c>
      <c r="Z651" s="10" t="str">
        <f t="shared" si="422"/>
        <v>Regeneration and Housing</v>
      </c>
      <c r="AA651" s="10" t="str">
        <f t="shared" si="423"/>
        <v>Commercial Development</v>
      </c>
      <c r="AB651" s="10" t="str">
        <f t="shared" si="424"/>
        <v>2cdb</v>
      </c>
      <c r="AD651" s="10" t="str">
        <f t="shared" si="425"/>
        <v>cdb02</v>
      </c>
      <c r="AE651" s="10" t="str">
        <f>"Finance &amp; Procurement / Finance"</f>
        <v>Finance &amp; Procurement / Finance</v>
      </c>
      <c r="AG651" s="10" t="str">
        <f>"21715/1271"</f>
        <v>21715/1271</v>
      </c>
      <c r="AI651" s="10" t="str">
        <f t="shared" si="426"/>
        <v>12prem</v>
      </c>
      <c r="AJ651" s="15" t="str">
        <f>"HIGHFIELD DEPOT_x000D_
_x000D_
Cleaning Services_x000D_
£390 per month_x000D_
_x000D_
Sept 16 - March 17"</f>
        <v>HIGHFIELD DEPOT_x000D_
_x000D_
Cleaning Services_x000D_
£390 per month_x000D_
_x000D_
Sept 16 - March 17</v>
      </c>
      <c r="AK651" s="10" t="str">
        <f t="shared" si="427"/>
        <v>Revenue</v>
      </c>
      <c r="AL651" s="10" t="str">
        <f>""</f>
        <v/>
      </c>
      <c r="AM651" s="10" t="str">
        <f>""</f>
        <v/>
      </c>
      <c r="AN651" s="10" t="str">
        <f>""</f>
        <v/>
      </c>
      <c r="AO651" s="10" t="str">
        <f>""</f>
        <v/>
      </c>
    </row>
    <row r="652" spans="1:41" s="10" customFormat="1" ht="409.6">
      <c r="A652" s="9"/>
      <c r="B652" s="9"/>
      <c r="C652" s="9"/>
      <c r="D652" s="10" t="str">
        <f>"31990"</f>
        <v>31990</v>
      </c>
      <c r="E652" s="11" t="str">
        <f>""</f>
        <v/>
      </c>
      <c r="F652" s="11" t="str">
        <f t="shared" si="413"/>
        <v>372418</v>
      </c>
      <c r="G652" s="11" t="str">
        <f t="shared" si="414"/>
        <v>2017toJAN</v>
      </c>
      <c r="H652" s="11" t="str">
        <f t="shared" si="415"/>
        <v>CRSP06B</v>
      </c>
      <c r="I652" s="11" t="str">
        <f t="shared" si="416"/>
        <v>34</v>
      </c>
      <c r="J652" s="11" t="str">
        <f t="shared" si="417"/>
        <v>Creditor</v>
      </c>
      <c r="K652" s="11" t="str">
        <f t="shared" si="418"/>
        <v>CS002043</v>
      </c>
      <c r="L652" s="10" t="str">
        <f t="shared" si="419"/>
        <v>Thames Valley Cleaning Services Ltd</v>
      </c>
      <c r="M652" s="12" t="str">
        <f t="shared" si="428"/>
        <v>27/01/2017 00:00:00</v>
      </c>
      <c r="N652" s="12">
        <v>42762</v>
      </c>
      <c r="O652" s="10" t="str">
        <f>"C007773"</f>
        <v>C007773</v>
      </c>
      <c r="P652" s="13">
        <v>2192</v>
      </c>
      <c r="Q652" s="11" t="str">
        <f>"2192.0000"</f>
        <v>2192.0000</v>
      </c>
      <c r="R652" s="10" t="str">
        <f t="shared" si="429"/>
        <v>C0004617</v>
      </c>
      <c r="S652" s="14" t="str">
        <f t="shared" si="430"/>
        <v>4892.9400</v>
      </c>
      <c r="T652" s="10">
        <v>21717</v>
      </c>
      <c r="U652" s="10">
        <v>1271</v>
      </c>
      <c r="V652" s="10" t="str">
        <f t="shared" si="420"/>
        <v>Cleaning &amp; domestic supplies</v>
      </c>
      <c r="W652" s="10" t="str">
        <f t="shared" si="421"/>
        <v>Premises Related Expenditure</v>
      </c>
      <c r="X652" s="10" t="str">
        <f>VLOOKUP(U652,'[1]Account code lookup'!A:B,2,0)</f>
        <v>Contract Cleaning</v>
      </c>
      <c r="Z652" s="10" t="str">
        <f t="shared" si="422"/>
        <v>Regeneration and Housing</v>
      </c>
      <c r="AA652" s="10" t="str">
        <f t="shared" si="423"/>
        <v>Commercial Development</v>
      </c>
      <c r="AB652" s="10" t="str">
        <f t="shared" si="424"/>
        <v>2cdb</v>
      </c>
      <c r="AD652" s="10" t="str">
        <f t="shared" si="425"/>
        <v>cdb02</v>
      </c>
      <c r="AE652" s="10" t="str">
        <f>"Finance &amp; Procurement / Finance"</f>
        <v>Finance &amp; Procurement / Finance</v>
      </c>
      <c r="AG652" s="10" t="str">
        <f>"21717/1271"</f>
        <v>21717/1271</v>
      </c>
      <c r="AI652" s="10" t="str">
        <f t="shared" si="426"/>
        <v>12prem</v>
      </c>
      <c r="AJ652" s="15" t="str">
        <f>"BANBURY HEALTH CENTRE_x000D_
_x000D_
Cleaning Services_x000D_
£2192 pm_x000D_
_x000D_
Sept 16 - March 17"</f>
        <v>BANBURY HEALTH CENTRE_x000D_
_x000D_
Cleaning Services_x000D_
£2192 pm_x000D_
_x000D_
Sept 16 - March 17</v>
      </c>
      <c r="AK652" s="10" t="str">
        <f t="shared" si="427"/>
        <v>Revenue</v>
      </c>
      <c r="AL652" s="10" t="str">
        <f>""</f>
        <v/>
      </c>
      <c r="AM652" s="10" t="str">
        <f>""</f>
        <v/>
      </c>
      <c r="AN652" s="10" t="str">
        <f>""</f>
        <v/>
      </c>
      <c r="AO652" s="10" t="str">
        <f>""</f>
        <v/>
      </c>
    </row>
    <row r="653" spans="1:41" s="10" customFormat="1" ht="409.6">
      <c r="A653" s="9"/>
      <c r="B653" s="9"/>
      <c r="C653" s="9"/>
      <c r="D653" s="10" t="str">
        <f>"32013"</f>
        <v>32013</v>
      </c>
      <c r="E653" s="11" t="str">
        <f>""</f>
        <v/>
      </c>
      <c r="F653" s="11" t="str">
        <f t="shared" si="413"/>
        <v>372418</v>
      </c>
      <c r="G653" s="11" t="str">
        <f t="shared" si="414"/>
        <v>2017toJAN</v>
      </c>
      <c r="H653" s="11" t="str">
        <f t="shared" si="415"/>
        <v>CRSP06B</v>
      </c>
      <c r="I653" s="11" t="str">
        <f t="shared" si="416"/>
        <v>34</v>
      </c>
      <c r="J653" s="11" t="str">
        <f t="shared" si="417"/>
        <v>Creditor</v>
      </c>
      <c r="K653" s="11" t="str">
        <f t="shared" si="418"/>
        <v>CS002043</v>
      </c>
      <c r="L653" s="10" t="str">
        <f t="shared" si="419"/>
        <v>Thames Valley Cleaning Services Ltd</v>
      </c>
      <c r="M653" s="12" t="str">
        <f t="shared" si="428"/>
        <v>27/01/2017 00:00:00</v>
      </c>
      <c r="N653" s="12">
        <v>42762</v>
      </c>
      <c r="O653" s="10" t="str">
        <f>"C007812"</f>
        <v>C007812</v>
      </c>
      <c r="P653" s="13">
        <v>169</v>
      </c>
      <c r="Q653" s="11" t="str">
        <f>"169.0000"</f>
        <v>169.0000</v>
      </c>
      <c r="R653" s="10" t="str">
        <f t="shared" si="429"/>
        <v>C0004617</v>
      </c>
      <c r="S653" s="14" t="str">
        <f t="shared" si="430"/>
        <v>4892.9400</v>
      </c>
      <c r="T653" s="10">
        <v>27038</v>
      </c>
      <c r="U653" s="10">
        <v>1271</v>
      </c>
      <c r="V653" s="10" t="str">
        <f t="shared" si="420"/>
        <v>Cleaning &amp; domestic supplies</v>
      </c>
      <c r="W653" s="10" t="str">
        <f t="shared" si="421"/>
        <v>Premises Related Expenditure</v>
      </c>
      <c r="X653" s="10" t="str">
        <f>VLOOKUP(U653,'[1]Account code lookup'!A:B,2,0)</f>
        <v>Contract Cleaning</v>
      </c>
      <c r="Z653" s="10" t="str">
        <f t="shared" si="422"/>
        <v>Regeneration and Housing</v>
      </c>
      <c r="AA653" s="10" t="str">
        <f t="shared" si="423"/>
        <v>Commercial Development</v>
      </c>
      <c r="AB653" s="10" t="str">
        <f t="shared" si="424"/>
        <v>2cdb</v>
      </c>
      <c r="AD653" s="10" t="str">
        <f t="shared" si="425"/>
        <v>cdb02</v>
      </c>
      <c r="AE653" s="10" t="str">
        <f>"Finance &amp; Procurement / Finance"</f>
        <v>Finance &amp; Procurement / Finance</v>
      </c>
      <c r="AG653" s="10" t="str">
        <f>"27038/1271"</f>
        <v>27038/1271</v>
      </c>
      <c r="AI653" s="10" t="str">
        <f t="shared" si="426"/>
        <v>12prem</v>
      </c>
      <c r="AJ653" s="15" t="str">
        <f>"CEMETERY OFFICE, SOUTHAM ROAD_x000D_
_x000D_
cleaning of office_x000D_
Sept 2016 - March 2017"</f>
        <v>CEMETERY OFFICE, SOUTHAM ROAD_x000D_
_x000D_
cleaning of office_x000D_
Sept 2016 - March 2017</v>
      </c>
      <c r="AK653" s="10" t="str">
        <f t="shared" si="427"/>
        <v>Revenue</v>
      </c>
      <c r="AL653" s="10" t="str">
        <f>""</f>
        <v/>
      </c>
      <c r="AM653" s="10" t="str">
        <f>""</f>
        <v/>
      </c>
      <c r="AN653" s="10" t="str">
        <f>""</f>
        <v/>
      </c>
      <c r="AO653" s="10" t="str">
        <f>""</f>
        <v/>
      </c>
    </row>
    <row r="654" spans="1:41" s="10" customFormat="1" ht="409.6">
      <c r="A654" s="9"/>
      <c r="B654" s="9"/>
      <c r="C654" s="9"/>
      <c r="D654" s="10" t="str">
        <f>"32290"</f>
        <v>32290</v>
      </c>
      <c r="E654" s="11" t="str">
        <f>""</f>
        <v/>
      </c>
      <c r="F654" s="11" t="str">
        <f t="shared" si="413"/>
        <v>372418</v>
      </c>
      <c r="G654" s="11" t="str">
        <f t="shared" si="414"/>
        <v>2017toJAN</v>
      </c>
      <c r="H654" s="11" t="str">
        <f t="shared" si="415"/>
        <v>CRSP06B</v>
      </c>
      <c r="I654" s="11" t="str">
        <f t="shared" si="416"/>
        <v>34</v>
      </c>
      <c r="J654" s="11" t="str">
        <f t="shared" si="417"/>
        <v>Creditor</v>
      </c>
      <c r="K654" s="11" t="str">
        <f t="shared" si="418"/>
        <v>CS002043</v>
      </c>
      <c r="L654" s="10" t="str">
        <f t="shared" si="419"/>
        <v>Thames Valley Cleaning Services Ltd</v>
      </c>
      <c r="M654" s="12" t="str">
        <f t="shared" si="428"/>
        <v>27/01/2017 00:00:00</v>
      </c>
      <c r="N654" s="12">
        <v>42762</v>
      </c>
      <c r="O654" s="10" t="str">
        <f>"C007784"</f>
        <v>C007784</v>
      </c>
      <c r="P654" s="13">
        <v>213.45</v>
      </c>
      <c r="Q654" s="11" t="str">
        <f>"213.4500"</f>
        <v>213.4500</v>
      </c>
      <c r="R654" s="10" t="str">
        <f t="shared" si="429"/>
        <v>C0004617</v>
      </c>
      <c r="S654" s="14" t="str">
        <f t="shared" si="430"/>
        <v>4892.9400</v>
      </c>
      <c r="T654" s="10">
        <v>28307</v>
      </c>
      <c r="U654" s="10">
        <v>1271</v>
      </c>
      <c r="V654" s="10" t="str">
        <f t="shared" si="420"/>
        <v>Cleaning &amp; domestic supplies</v>
      </c>
      <c r="W654" s="10" t="str">
        <f t="shared" si="421"/>
        <v>Premises Related Expenditure</v>
      </c>
      <c r="X654" s="10" t="str">
        <f>VLOOKUP(U654,'[1]Account code lookup'!A:B,2,0)</f>
        <v>Contract Cleaning</v>
      </c>
      <c r="Z654" s="10" t="str">
        <f t="shared" si="422"/>
        <v>Regeneration and Housing</v>
      </c>
      <c r="AA654" s="10" t="str">
        <f t="shared" si="423"/>
        <v>Commercial Development</v>
      </c>
      <c r="AB654" s="10" t="str">
        <f t="shared" si="424"/>
        <v>2cdb</v>
      </c>
      <c r="AD654" s="10" t="str">
        <f t="shared" si="425"/>
        <v>cdb02</v>
      </c>
      <c r="AE654" s="10" t="str">
        <f>"Regeneration &amp; Housing / Delivery Team"</f>
        <v>Regeneration &amp; Housing / Delivery Team</v>
      </c>
      <c r="AG654" s="10" t="str">
        <f>"28307/1271"</f>
        <v>28307/1271</v>
      </c>
      <c r="AI654" s="10" t="str">
        <f t="shared" si="426"/>
        <v>12prem</v>
      </c>
      <c r="AJ654" s="15" t="str">
        <f>"70 West Street_x000D_
Rentals_x000D_
Oct, Nov, Dec &amp; Jan weekly cleans_x000D_
4 (month) x 182.85_x000D_
2 x 30.60 (window)"</f>
        <v>70 West Street_x000D_
Rentals_x000D_
Oct, Nov, Dec &amp; Jan weekly cleans_x000D_
4 (month) x 182.85_x000D_
2 x 30.60 (window)</v>
      </c>
      <c r="AK654" s="10" t="str">
        <f t="shared" si="427"/>
        <v>Revenue</v>
      </c>
      <c r="AL654" s="10" t="str">
        <f>""</f>
        <v/>
      </c>
      <c r="AM654" s="10" t="str">
        <f>""</f>
        <v/>
      </c>
      <c r="AN654" s="10" t="str">
        <f>""</f>
        <v/>
      </c>
      <c r="AO654" s="10" t="str">
        <f>""</f>
        <v/>
      </c>
    </row>
    <row r="655" spans="1:41" s="10" customFormat="1" ht="409.6">
      <c r="A655" s="9"/>
      <c r="B655" s="9"/>
      <c r="C655" s="9"/>
      <c r="D655" s="10" t="str">
        <f>"32474"</f>
        <v>32474</v>
      </c>
      <c r="E655" s="11" t="str">
        <f>""</f>
        <v/>
      </c>
      <c r="F655" s="11" t="str">
        <f t="shared" si="413"/>
        <v>372418</v>
      </c>
      <c r="G655" s="11" t="str">
        <f t="shared" si="414"/>
        <v>2017toJAN</v>
      </c>
      <c r="H655" s="11" t="str">
        <f t="shared" si="415"/>
        <v>CRSP06B</v>
      </c>
      <c r="I655" s="11" t="str">
        <f t="shared" si="416"/>
        <v>34</v>
      </c>
      <c r="J655" s="11" t="str">
        <f t="shared" si="417"/>
        <v>Creditor</v>
      </c>
      <c r="K655" s="11" t="str">
        <f t="shared" si="418"/>
        <v>CS002043</v>
      </c>
      <c r="L655" s="10" t="str">
        <f t="shared" si="419"/>
        <v>Thames Valley Cleaning Services Ltd</v>
      </c>
      <c r="M655" s="12" t="str">
        <f t="shared" si="428"/>
        <v>27/01/2017 00:00:00</v>
      </c>
      <c r="N655" s="12">
        <v>42762</v>
      </c>
      <c r="O655" s="10" t="str">
        <f>"C007814"</f>
        <v>C007814</v>
      </c>
      <c r="P655" s="13">
        <v>840</v>
      </c>
      <c r="Q655" s="11" t="str">
        <f>"840.0000"</f>
        <v>840.0000</v>
      </c>
      <c r="R655" s="10" t="str">
        <f t="shared" si="429"/>
        <v>C0004617</v>
      </c>
      <c r="S655" s="14" t="str">
        <f t="shared" si="430"/>
        <v>4892.9400</v>
      </c>
      <c r="T655" s="10">
        <v>31013</v>
      </c>
      <c r="U655" s="10">
        <v>1271</v>
      </c>
      <c r="V655" s="10" t="str">
        <f t="shared" si="420"/>
        <v>Cleaning &amp; domestic supplies</v>
      </c>
      <c r="W655" s="10" t="str">
        <f t="shared" si="421"/>
        <v>Premises Related Expenditure</v>
      </c>
      <c r="X655" s="10" t="str">
        <f>VLOOKUP(U655,'[1]Account code lookup'!A:B,2,0)</f>
        <v>Contract Cleaning</v>
      </c>
      <c r="Z655" s="10" t="str">
        <f t="shared" si="422"/>
        <v>Regeneration and Housing</v>
      </c>
      <c r="AA655" s="10" t="str">
        <f t="shared" si="423"/>
        <v>Commercial Development</v>
      </c>
      <c r="AB655" s="10" t="str">
        <f t="shared" si="424"/>
        <v>2cdb</v>
      </c>
      <c r="AD655" s="10" t="str">
        <f t="shared" si="425"/>
        <v>cdb02</v>
      </c>
      <c r="AE655" s="10" t="str">
        <f>"Finance &amp; Procurement / Finance"</f>
        <v>Finance &amp; Procurement / Finance</v>
      </c>
      <c r="AG655" s="10" t="str">
        <f>"31013/1271"</f>
        <v>31013/1271</v>
      </c>
      <c r="AI655" s="10" t="str">
        <f t="shared" si="426"/>
        <v>12prem</v>
      </c>
      <c r="AJ655" s="15" t="str">
        <f>"S/C FRANKLIN HOUSE_x000D_
_x000D_
Daily cleaning of office £140 per week _x000D_
  _x000D_
Daily cleaning of communal area £70 per  _x000D_
week _x000D_
_x000D_
SEPT 16 - MARCH 17"</f>
        <v>S/C FRANKLIN HOUSE_x000D_
_x000D_
Daily cleaning of office £140 per week _x000D_
  _x000D_
Daily cleaning of communal area £70 per  _x000D_
week _x000D_
_x000D_
SEPT 16 - MARCH 17</v>
      </c>
      <c r="AK655" s="10" t="str">
        <f t="shared" si="427"/>
        <v>Revenue</v>
      </c>
      <c r="AL655" s="10" t="str">
        <f>""</f>
        <v/>
      </c>
      <c r="AM655" s="10" t="str">
        <f>""</f>
        <v/>
      </c>
      <c r="AN655" s="10" t="str">
        <f>""</f>
        <v/>
      </c>
      <c r="AO655" s="10" t="str">
        <f>""</f>
        <v/>
      </c>
    </row>
    <row r="656" spans="1:41" s="10" customFormat="1" ht="409.6">
      <c r="A656" s="9"/>
      <c r="B656" s="9"/>
      <c r="C656" s="9"/>
      <c r="D656" s="10" t="str">
        <f>"32920"</f>
        <v>32920</v>
      </c>
      <c r="E656" s="11" t="str">
        <f>""</f>
        <v/>
      </c>
      <c r="F656" s="11" t="str">
        <f t="shared" si="413"/>
        <v>372418</v>
      </c>
      <c r="G656" s="11" t="str">
        <f t="shared" si="414"/>
        <v>2017toJAN</v>
      </c>
      <c r="H656" s="11" t="str">
        <f t="shared" si="415"/>
        <v>CRSP06B</v>
      </c>
      <c r="I656" s="11" t="str">
        <f t="shared" si="416"/>
        <v>34</v>
      </c>
      <c r="J656" s="11" t="str">
        <f t="shared" si="417"/>
        <v>Creditor</v>
      </c>
      <c r="K656" s="11" t="str">
        <f t="shared" si="418"/>
        <v>CS002043</v>
      </c>
      <c r="L656" s="10" t="str">
        <f t="shared" si="419"/>
        <v>Thames Valley Cleaning Services Ltd</v>
      </c>
      <c r="M656" s="12" t="str">
        <f t="shared" si="428"/>
        <v>27/01/2017 00:00:00</v>
      </c>
      <c r="N656" s="12">
        <v>42762</v>
      </c>
      <c r="O656" s="10" t="str">
        <f>"C007813"</f>
        <v>C007813</v>
      </c>
      <c r="P656" s="13">
        <v>273</v>
      </c>
      <c r="Q656" s="11" t="str">
        <f>"273.0000"</f>
        <v>273.0000</v>
      </c>
      <c r="R656" s="10" t="str">
        <f t="shared" si="429"/>
        <v>C0004617</v>
      </c>
      <c r="S656" s="14" t="str">
        <f t="shared" si="430"/>
        <v>4892.9400</v>
      </c>
      <c r="T656" s="10">
        <v>31013</v>
      </c>
      <c r="U656" s="10">
        <v>1271</v>
      </c>
      <c r="V656" s="10" t="str">
        <f t="shared" si="420"/>
        <v>Cleaning &amp; domestic supplies</v>
      </c>
      <c r="W656" s="10" t="str">
        <f t="shared" si="421"/>
        <v>Premises Related Expenditure</v>
      </c>
      <c r="X656" s="10" t="str">
        <f>VLOOKUP(U656,'[1]Account code lookup'!A:B,2,0)</f>
        <v>Contract Cleaning</v>
      </c>
      <c r="Z656" s="10" t="str">
        <f t="shared" si="422"/>
        <v>Regeneration and Housing</v>
      </c>
      <c r="AA656" s="10" t="str">
        <f t="shared" si="423"/>
        <v>Commercial Development</v>
      </c>
      <c r="AB656" s="10" t="str">
        <f t="shared" si="424"/>
        <v>2cdb</v>
      </c>
      <c r="AD656" s="10" t="str">
        <f t="shared" si="425"/>
        <v>cdb02</v>
      </c>
      <c r="AE656" s="10" t="str">
        <f>"Finance &amp; Procurement / Finance"</f>
        <v>Finance &amp; Procurement / Finance</v>
      </c>
      <c r="AG656" s="10" t="str">
        <f>"31013/1271"</f>
        <v>31013/1271</v>
      </c>
      <c r="AI656" s="10" t="str">
        <f t="shared" si="426"/>
        <v>12prem</v>
      </c>
      <c r="AJ656" s="15" t="str">
        <f>"S/C PIONEER SQ_x000D_
_x000D_
Cleaning undertake n at Pioneer Sq_x000D_
_x000D_
Sept 16 -  March 17"</f>
        <v>S/C PIONEER SQ_x000D_
_x000D_
Cleaning undertake n at Pioneer Sq_x000D_
_x000D_
Sept 16 -  March 17</v>
      </c>
      <c r="AK656" s="10" t="str">
        <f t="shared" si="427"/>
        <v>Revenue</v>
      </c>
      <c r="AL656" s="10" t="str">
        <f>""</f>
        <v/>
      </c>
      <c r="AM656" s="10" t="str">
        <f>""</f>
        <v/>
      </c>
      <c r="AN656" s="10" t="str">
        <f>""</f>
        <v/>
      </c>
      <c r="AO656" s="10" t="str">
        <f>""</f>
        <v/>
      </c>
    </row>
    <row r="657" spans="1:41" s="10" customFormat="1" ht="409.6">
      <c r="A657" s="9"/>
      <c r="B657" s="9"/>
      <c r="C657" s="9"/>
      <c r="D657" s="10" t="str">
        <f>"33133"</f>
        <v>33133</v>
      </c>
      <c r="E657" s="11" t="str">
        <f>""</f>
        <v/>
      </c>
      <c r="F657" s="11" t="str">
        <f t="shared" si="413"/>
        <v>372418</v>
      </c>
      <c r="G657" s="11" t="str">
        <f t="shared" si="414"/>
        <v>2017toJAN</v>
      </c>
      <c r="H657" s="11" t="str">
        <f t="shared" si="415"/>
        <v>CRSP06B</v>
      </c>
      <c r="I657" s="11" t="str">
        <f t="shared" si="416"/>
        <v>34</v>
      </c>
      <c r="J657" s="11" t="str">
        <f t="shared" si="417"/>
        <v>Creditor</v>
      </c>
      <c r="K657" s="11" t="str">
        <f>"CS002189"</f>
        <v>CS002189</v>
      </c>
      <c r="L657" s="10" t="str">
        <f>"Thames Valley Police Authority"</f>
        <v>Thames Valley Police Authority</v>
      </c>
      <c r="M657" s="12" t="str">
        <f>"09/01/2017 00:00:00"</f>
        <v>09/01/2017 00:00:00</v>
      </c>
      <c r="N657" s="12">
        <v>42744</v>
      </c>
      <c r="O657" s="10" t="str">
        <f>"C007689"</f>
        <v>C007689</v>
      </c>
      <c r="P657" s="13">
        <v>500</v>
      </c>
      <c r="Q657" s="11" t="str">
        <f>"500.0000"</f>
        <v>500.0000</v>
      </c>
      <c r="R657" s="10" t="str">
        <f>"C0004339"</f>
        <v>C0004339</v>
      </c>
      <c r="S657" s="14" t="str">
        <f>"500.0000"</f>
        <v>500.0000</v>
      </c>
      <c r="T657" s="10">
        <v>25300</v>
      </c>
      <c r="U657" s="10">
        <v>1405</v>
      </c>
      <c r="V657" s="10" t="str">
        <f>"Equipment, furniture and mats"</f>
        <v>Equipment, furniture and mats</v>
      </c>
      <c r="W657" s="10" t="str">
        <f>"Supplies and Services"</f>
        <v>Supplies and Services</v>
      </c>
      <c r="X657" s="10" t="str">
        <f>VLOOKUP(U657,'[1]Account code lookup'!A:B,2,0)</f>
        <v>Materials General</v>
      </c>
      <c r="Z657" s="10" t="str">
        <f>"Community Services"</f>
        <v>Community Services</v>
      </c>
      <c r="AA657" s="10" t="str">
        <f>"Operations and Delivery"</f>
        <v>Operations and Delivery</v>
      </c>
      <c r="AB657" s="10" t="str">
        <f>"5oad"</f>
        <v>5oad</v>
      </c>
      <c r="AD657" s="10" t="str">
        <f>"oad01"</f>
        <v>oad01</v>
      </c>
      <c r="AE657" s="10" t="str">
        <f>"Community Services / Safer Communities"</f>
        <v>Community Services / Safer Communities</v>
      </c>
      <c r="AG657" s="10" t="str">
        <f>"25300/1405"</f>
        <v>25300/1405</v>
      </c>
      <c r="AI657" s="10" t="str">
        <f>"14suse"</f>
        <v>14suse</v>
      </c>
      <c r="AJ657" s="15" t="str">
        <f>"This is against PO CDC002304"</f>
        <v>This is against PO CDC002304</v>
      </c>
      <c r="AK657" s="10" t="str">
        <f t="shared" si="427"/>
        <v>Revenue</v>
      </c>
      <c r="AL657" s="10" t="str">
        <f>""</f>
        <v/>
      </c>
      <c r="AM657" s="10" t="str">
        <f>""</f>
        <v/>
      </c>
      <c r="AN657" s="10" t="str">
        <f>""</f>
        <v/>
      </c>
      <c r="AO657" s="10" t="str">
        <f>""</f>
        <v/>
      </c>
    </row>
    <row r="658" spans="1:41" s="10" customFormat="1" ht="409.6">
      <c r="A658" s="9"/>
      <c r="B658" s="9"/>
      <c r="C658" s="9"/>
      <c r="D658" s="10" t="str">
        <f>"33342"</f>
        <v>33342</v>
      </c>
      <c r="E658" s="11" t="str">
        <f>""</f>
        <v/>
      </c>
      <c r="F658" s="11" t="str">
        <f t="shared" si="413"/>
        <v>372418</v>
      </c>
      <c r="G658" s="11" t="str">
        <f t="shared" si="414"/>
        <v>2017toJAN</v>
      </c>
      <c r="H658" s="11" t="str">
        <f t="shared" si="415"/>
        <v>CRSP06B</v>
      </c>
      <c r="I658" s="11" t="str">
        <f t="shared" si="416"/>
        <v>34</v>
      </c>
      <c r="J658" s="11" t="str">
        <f t="shared" si="417"/>
        <v>Creditor</v>
      </c>
      <c r="K658" s="11" t="str">
        <f t="shared" ref="K658:K665" si="431">"CS002191"</f>
        <v>CS002191</v>
      </c>
      <c r="L658" s="10" t="str">
        <f t="shared" ref="L658:L665" si="432">"Thames Water Utilities Limited"</f>
        <v>Thames Water Utilities Limited</v>
      </c>
      <c r="M658" s="12" t="str">
        <f>"06/01/2017 00:00:00"</f>
        <v>06/01/2017 00:00:00</v>
      </c>
      <c r="N658" s="12">
        <v>42741</v>
      </c>
      <c r="O658" s="10" t="str">
        <f>"C007219"</f>
        <v>C007219</v>
      </c>
      <c r="P658" s="13">
        <v>1485.94</v>
      </c>
      <c r="Q658" s="11" t="str">
        <f>"1485.9400"</f>
        <v>1485.9400</v>
      </c>
      <c r="R658" s="10" t="str">
        <f>"C0004312"</f>
        <v>C0004312</v>
      </c>
      <c r="S658" s="14" t="str">
        <f>"2322.9000"</f>
        <v>2322.9000</v>
      </c>
      <c r="T658" s="10">
        <v>21714</v>
      </c>
      <c r="U658" s="10">
        <v>1250</v>
      </c>
      <c r="V658" s="10" t="str">
        <f t="shared" ref="V658:V665" si="433">"Water services"</f>
        <v>Water services</v>
      </c>
      <c r="W658" s="10" t="str">
        <f t="shared" ref="W658:W665" si="434">"Premises Related Expenditure"</f>
        <v>Premises Related Expenditure</v>
      </c>
      <c r="X658" s="10" t="str">
        <f>VLOOKUP(U658,'[1]Account code lookup'!A:B,2,0)</f>
        <v>Water Charges (Metered)</v>
      </c>
      <c r="Z658" s="10" t="str">
        <f>"Regeneration and Housing"</f>
        <v>Regeneration and Housing</v>
      </c>
      <c r="AA658" s="10" t="str">
        <f>"Commercial Development"</f>
        <v>Commercial Development</v>
      </c>
      <c r="AB658" s="10" t="str">
        <f>"2cdb"</f>
        <v>2cdb</v>
      </c>
      <c r="AD658" s="10" t="str">
        <f>"cdb02"</f>
        <v>cdb02</v>
      </c>
      <c r="AE658" s="10" t="str">
        <f t="shared" ref="AE658:AE663" si="435">"Finance &amp; Procurement / Head of Finance &amp; Procurement"</f>
        <v>Finance &amp; Procurement / Head of Finance &amp; Procurement</v>
      </c>
      <c r="AG658" s="10" t="str">
        <f>"21714/1250"</f>
        <v>21714/1250</v>
      </c>
      <c r="AI658" s="10" t="str">
        <f t="shared" ref="AI658:AI665" si="436">"12prem"</f>
        <v>12prem</v>
      </c>
      <c r="AJ658" s="15" t="str">
        <f>""</f>
        <v/>
      </c>
      <c r="AK658" s="10" t="str">
        <f t="shared" si="427"/>
        <v>Revenue</v>
      </c>
      <c r="AL658" s="10" t="str">
        <f>""</f>
        <v/>
      </c>
      <c r="AM658" s="10" t="str">
        <f>""</f>
        <v/>
      </c>
      <c r="AN658" s="10" t="str">
        <f>""</f>
        <v/>
      </c>
      <c r="AO658" s="10" t="str">
        <f>""</f>
        <v/>
      </c>
    </row>
    <row r="659" spans="1:41" s="10" customFormat="1" ht="409.6">
      <c r="A659" s="9"/>
      <c r="B659" s="9"/>
      <c r="C659" s="9"/>
      <c r="D659" s="10" t="str">
        <f>"33448"</f>
        <v>33448</v>
      </c>
      <c r="E659" s="11" t="str">
        <f>""</f>
        <v/>
      </c>
      <c r="F659" s="11" t="str">
        <f t="shared" si="413"/>
        <v>372418</v>
      </c>
      <c r="G659" s="11" t="str">
        <f t="shared" si="414"/>
        <v>2017toJAN</v>
      </c>
      <c r="H659" s="11" t="str">
        <f t="shared" si="415"/>
        <v>CRSP06B</v>
      </c>
      <c r="I659" s="11" t="str">
        <f t="shared" si="416"/>
        <v>34</v>
      </c>
      <c r="J659" s="11" t="str">
        <f t="shared" si="417"/>
        <v>Creditor</v>
      </c>
      <c r="K659" s="11" t="str">
        <f t="shared" si="431"/>
        <v>CS002191</v>
      </c>
      <c r="L659" s="10" t="str">
        <f t="shared" si="432"/>
        <v>Thames Water Utilities Limited</v>
      </c>
      <c r="M659" s="12" t="str">
        <f>"06/01/2017 00:00:00"</f>
        <v>06/01/2017 00:00:00</v>
      </c>
      <c r="N659" s="12">
        <v>42741</v>
      </c>
      <c r="O659" s="10" t="str">
        <f>"C007219"</f>
        <v>C007219</v>
      </c>
      <c r="P659" s="13">
        <v>697.47</v>
      </c>
      <c r="Q659" s="11" t="str">
        <f>"697.4700"</f>
        <v>697.4700</v>
      </c>
      <c r="R659" s="10" t="str">
        <f>"C0004312"</f>
        <v>C0004312</v>
      </c>
      <c r="S659" s="14" t="str">
        <f>"2322.9000"</f>
        <v>2322.9000</v>
      </c>
      <c r="T659" s="10">
        <v>21714</v>
      </c>
      <c r="U659" s="10">
        <v>1250</v>
      </c>
      <c r="V659" s="10" t="str">
        <f t="shared" si="433"/>
        <v>Water services</v>
      </c>
      <c r="W659" s="10" t="str">
        <f t="shared" si="434"/>
        <v>Premises Related Expenditure</v>
      </c>
      <c r="X659" s="10" t="str">
        <f>VLOOKUP(U659,'[1]Account code lookup'!A:B,2,0)</f>
        <v>Water Charges (Metered)</v>
      </c>
      <c r="Z659" s="10" t="str">
        <f>"Regeneration and Housing"</f>
        <v>Regeneration and Housing</v>
      </c>
      <c r="AA659" s="10" t="str">
        <f>"Commercial Development"</f>
        <v>Commercial Development</v>
      </c>
      <c r="AB659" s="10" t="str">
        <f>"2cdb"</f>
        <v>2cdb</v>
      </c>
      <c r="AD659" s="10" t="str">
        <f>"cdb02"</f>
        <v>cdb02</v>
      </c>
      <c r="AE659" s="10" t="str">
        <f t="shared" si="435"/>
        <v>Finance &amp; Procurement / Head of Finance &amp; Procurement</v>
      </c>
      <c r="AG659" s="10" t="str">
        <f>"21714/1250"</f>
        <v>21714/1250</v>
      </c>
      <c r="AI659" s="10" t="str">
        <f t="shared" si="436"/>
        <v>12prem</v>
      </c>
      <c r="AJ659" s="15" t="str">
        <f>"Water Charges, TLD March - 31st March"</f>
        <v>Water Charges, TLD March - 31st March</v>
      </c>
      <c r="AK659" s="10" t="str">
        <f t="shared" si="427"/>
        <v>Revenue</v>
      </c>
      <c r="AL659" s="10" t="str">
        <f>""</f>
        <v/>
      </c>
      <c r="AM659" s="10" t="str">
        <f>""</f>
        <v/>
      </c>
      <c r="AN659" s="10" t="str">
        <f>""</f>
        <v/>
      </c>
      <c r="AO659" s="10" t="str">
        <f>""</f>
        <v/>
      </c>
    </row>
    <row r="660" spans="1:41" s="10" customFormat="1" ht="409.6">
      <c r="A660" s="9"/>
      <c r="B660" s="9"/>
      <c r="C660" s="9"/>
      <c r="D660" s="10" t="str">
        <f>"33449"</f>
        <v>33449</v>
      </c>
      <c r="E660" s="11" t="str">
        <f>""</f>
        <v/>
      </c>
      <c r="F660" s="11" t="str">
        <f t="shared" si="413"/>
        <v>372418</v>
      </c>
      <c r="G660" s="11" t="str">
        <f t="shared" si="414"/>
        <v>2017toJAN</v>
      </c>
      <c r="H660" s="11" t="str">
        <f t="shared" si="415"/>
        <v>CRSP06B</v>
      </c>
      <c r="I660" s="11" t="str">
        <f t="shared" si="416"/>
        <v>34</v>
      </c>
      <c r="J660" s="11" t="str">
        <f t="shared" si="417"/>
        <v>Creditor</v>
      </c>
      <c r="K660" s="11" t="str">
        <f t="shared" si="431"/>
        <v>CS002191</v>
      </c>
      <c r="L660" s="10" t="str">
        <f t="shared" si="432"/>
        <v>Thames Water Utilities Limited</v>
      </c>
      <c r="M660" s="12" t="str">
        <f>"11/01/2017 00:00:00"</f>
        <v>11/01/2017 00:00:00</v>
      </c>
      <c r="N660" s="12">
        <v>42746</v>
      </c>
      <c r="O660" s="10" t="str">
        <f>"C007392"</f>
        <v>C007392</v>
      </c>
      <c r="P660" s="13">
        <v>612.94000000000005</v>
      </c>
      <c r="Q660" s="11" t="str">
        <f>"612.9400"</f>
        <v>612.9400</v>
      </c>
      <c r="R660" s="10" t="str">
        <f>"C0004374"</f>
        <v>C0004374</v>
      </c>
      <c r="S660" s="14" t="str">
        <f>"649.7800"</f>
        <v>649.7800</v>
      </c>
      <c r="T660" s="10">
        <v>21715</v>
      </c>
      <c r="U660" s="10">
        <v>1250</v>
      </c>
      <c r="V660" s="10" t="str">
        <f t="shared" si="433"/>
        <v>Water services</v>
      </c>
      <c r="W660" s="10" t="str">
        <f t="shared" si="434"/>
        <v>Premises Related Expenditure</v>
      </c>
      <c r="X660" s="10" t="str">
        <f>VLOOKUP(U660,'[1]Account code lookup'!A:B,2,0)</f>
        <v>Water Charges (Metered)</v>
      </c>
      <c r="Z660" s="10" t="str">
        <f>"Regeneration and Housing"</f>
        <v>Regeneration and Housing</v>
      </c>
      <c r="AA660" s="10" t="str">
        <f>"Commercial Development"</f>
        <v>Commercial Development</v>
      </c>
      <c r="AB660" s="10" t="str">
        <f>"2cdb"</f>
        <v>2cdb</v>
      </c>
      <c r="AD660" s="10" t="str">
        <f>"cdb02"</f>
        <v>cdb02</v>
      </c>
      <c r="AE660" s="10" t="str">
        <f t="shared" si="435"/>
        <v>Finance &amp; Procurement / Head of Finance &amp; Procurement</v>
      </c>
      <c r="AG660" s="10" t="str">
        <f>"21715/1250"</f>
        <v>21715/1250</v>
      </c>
      <c r="AI660" s="10" t="str">
        <f t="shared" si="436"/>
        <v>12prem</v>
      </c>
      <c r="AJ660" s="15" t="str">
        <f>"Water Charges - Highfield Depot, December - March"</f>
        <v>Water Charges - Highfield Depot, December - March</v>
      </c>
      <c r="AK660" s="10" t="str">
        <f t="shared" si="427"/>
        <v>Revenue</v>
      </c>
      <c r="AL660" s="10" t="str">
        <f>""</f>
        <v/>
      </c>
      <c r="AM660" s="10" t="str">
        <f>""</f>
        <v/>
      </c>
      <c r="AN660" s="10" t="str">
        <f>""</f>
        <v/>
      </c>
      <c r="AO660" s="10" t="str">
        <f>""</f>
        <v/>
      </c>
    </row>
    <row r="661" spans="1:41" s="10" customFormat="1" ht="409.6">
      <c r="A661" s="9"/>
      <c r="B661" s="9"/>
      <c r="C661" s="9"/>
      <c r="D661" s="10" t="str">
        <f>"33450"</f>
        <v>33450</v>
      </c>
      <c r="E661" s="11" t="str">
        <f>""</f>
        <v/>
      </c>
      <c r="F661" s="11" t="str">
        <f t="shared" si="413"/>
        <v>372418</v>
      </c>
      <c r="G661" s="11" t="str">
        <f t="shared" si="414"/>
        <v>2017toJAN</v>
      </c>
      <c r="H661" s="11" t="str">
        <f t="shared" si="415"/>
        <v>CRSP06B</v>
      </c>
      <c r="I661" s="11" t="str">
        <f t="shared" si="416"/>
        <v>34</v>
      </c>
      <c r="J661" s="11" t="str">
        <f t="shared" si="417"/>
        <v>Creditor</v>
      </c>
      <c r="K661" s="11" t="str">
        <f t="shared" si="431"/>
        <v>CS002191</v>
      </c>
      <c r="L661" s="10" t="str">
        <f t="shared" si="432"/>
        <v>Thames Water Utilities Limited</v>
      </c>
      <c r="M661" s="12" t="str">
        <f>"11/01/2017 00:00:00"</f>
        <v>11/01/2017 00:00:00</v>
      </c>
      <c r="N661" s="12">
        <v>42746</v>
      </c>
      <c r="O661" s="10" t="str">
        <f>"C007423"</f>
        <v>C007423</v>
      </c>
      <c r="P661" s="13">
        <v>36.840000000000003</v>
      </c>
      <c r="Q661" s="11" t="str">
        <f>"36.8400"</f>
        <v>36.8400</v>
      </c>
      <c r="R661" s="10" t="str">
        <f>"C0004374"</f>
        <v>C0004374</v>
      </c>
      <c r="S661" s="14" t="str">
        <f>"649.7800"</f>
        <v>649.7800</v>
      </c>
      <c r="T661" s="10">
        <v>25580</v>
      </c>
      <c r="U661" s="10">
        <v>1250</v>
      </c>
      <c r="V661" s="10" t="str">
        <f t="shared" si="433"/>
        <v>Water services</v>
      </c>
      <c r="W661" s="10" t="str">
        <f t="shared" si="434"/>
        <v>Premises Related Expenditure</v>
      </c>
      <c r="X661" s="10" t="str">
        <f>VLOOKUP(U661,'[1]Account code lookup'!A:B,2,0)</f>
        <v>Water Charges (Metered)</v>
      </c>
      <c r="Z661" s="10" t="str">
        <f>"Environmental Services"</f>
        <v>Environmental Services</v>
      </c>
      <c r="AA661" s="10" t="str">
        <f>"Operations and Delivery"</f>
        <v>Operations and Delivery</v>
      </c>
      <c r="AB661" s="10" t="str">
        <f>"5oad"</f>
        <v>5oad</v>
      </c>
      <c r="AD661" s="10" t="str">
        <f>"oad02"</f>
        <v>oad02</v>
      </c>
      <c r="AE661" s="10" t="str">
        <f t="shared" si="435"/>
        <v>Finance &amp; Procurement / Head of Finance &amp; Procurement</v>
      </c>
      <c r="AG661" s="10" t="str">
        <f>"25580/1250"</f>
        <v>25580/1250</v>
      </c>
      <c r="AI661" s="10" t="str">
        <f t="shared" si="436"/>
        <v>12prem</v>
      </c>
      <c r="AJ661" s="15" t="str">
        <f>"Water Charges - Bridge Street PC June - September 2016"</f>
        <v>Water Charges - Bridge Street PC June - September 2016</v>
      </c>
      <c r="AK661" s="10" t="str">
        <f t="shared" si="427"/>
        <v>Revenue</v>
      </c>
      <c r="AL661" s="10" t="str">
        <f>""</f>
        <v/>
      </c>
      <c r="AM661" s="10" t="str">
        <f>""</f>
        <v/>
      </c>
      <c r="AN661" s="10" t="str">
        <f>""</f>
        <v/>
      </c>
      <c r="AO661" s="10" t="str">
        <f>""</f>
        <v/>
      </c>
    </row>
    <row r="662" spans="1:41" s="10" customFormat="1" ht="409.6">
      <c r="A662" s="9"/>
      <c r="B662" s="9"/>
      <c r="C662" s="9"/>
      <c r="D662" s="10" t="str">
        <f>"33644"</f>
        <v>33644</v>
      </c>
      <c r="E662" s="11" t="str">
        <f>""</f>
        <v/>
      </c>
      <c r="F662" s="11" t="str">
        <f t="shared" si="413"/>
        <v>372418</v>
      </c>
      <c r="G662" s="11" t="str">
        <f t="shared" si="414"/>
        <v>2017toJAN</v>
      </c>
      <c r="H662" s="11" t="str">
        <f t="shared" si="415"/>
        <v>CRSP06B</v>
      </c>
      <c r="I662" s="11" t="str">
        <f t="shared" si="416"/>
        <v>34</v>
      </c>
      <c r="J662" s="11" t="str">
        <f t="shared" si="417"/>
        <v>Creditor</v>
      </c>
      <c r="K662" s="11" t="str">
        <f t="shared" si="431"/>
        <v>CS002191</v>
      </c>
      <c r="L662" s="10" t="str">
        <f t="shared" si="432"/>
        <v>Thames Water Utilities Limited</v>
      </c>
      <c r="M662" s="12" t="str">
        <f>"18/01/2017 00:00:00"</f>
        <v>18/01/2017 00:00:00</v>
      </c>
      <c r="N662" s="12">
        <v>42753</v>
      </c>
      <c r="O662" s="10" t="str">
        <f>"C007921"</f>
        <v>C007921</v>
      </c>
      <c r="P662" s="13">
        <v>308.56</v>
      </c>
      <c r="Q662" s="11" t="str">
        <f>"308.5600"</f>
        <v>308.5600</v>
      </c>
      <c r="R662" s="10" t="str">
        <f>"C0004482"</f>
        <v>C0004482</v>
      </c>
      <c r="S662" s="14" t="str">
        <f>"784.1000"</f>
        <v>784.1000</v>
      </c>
      <c r="T662" s="10">
        <v>25580</v>
      </c>
      <c r="U662" s="10">
        <v>1250</v>
      </c>
      <c r="V662" s="10" t="str">
        <f t="shared" si="433"/>
        <v>Water services</v>
      </c>
      <c r="W662" s="10" t="str">
        <f t="shared" si="434"/>
        <v>Premises Related Expenditure</v>
      </c>
      <c r="X662" s="10" t="str">
        <f>VLOOKUP(U662,'[1]Account code lookup'!A:B,2,0)</f>
        <v>Water Charges (Metered)</v>
      </c>
      <c r="Z662" s="10" t="str">
        <f>"Environmental Services"</f>
        <v>Environmental Services</v>
      </c>
      <c r="AA662" s="10" t="str">
        <f>"Operations and Delivery"</f>
        <v>Operations and Delivery</v>
      </c>
      <c r="AB662" s="10" t="str">
        <f>"5oad"</f>
        <v>5oad</v>
      </c>
      <c r="AD662" s="10" t="str">
        <f>"oad02"</f>
        <v>oad02</v>
      </c>
      <c r="AE662" s="10" t="str">
        <f t="shared" si="435"/>
        <v>Finance &amp; Procurement / Head of Finance &amp; Procurement</v>
      </c>
      <c r="AG662" s="10" t="str">
        <f>"25580/1250"</f>
        <v>25580/1250</v>
      </c>
      <c r="AI662" s="10" t="str">
        <f t="shared" si="436"/>
        <v>12prem</v>
      </c>
      <c r="AJ662" s="15" t="str">
        <f>"Water Charges - Kidlington Toilets November - Feb 2017"</f>
        <v>Water Charges - Kidlington Toilets November - Feb 2017</v>
      </c>
      <c r="AK662" s="10" t="str">
        <f t="shared" si="427"/>
        <v>Revenue</v>
      </c>
      <c r="AL662" s="10" t="str">
        <f>""</f>
        <v/>
      </c>
      <c r="AM662" s="10" t="str">
        <f>""</f>
        <v/>
      </c>
      <c r="AN662" s="10" t="str">
        <f>""</f>
        <v/>
      </c>
      <c r="AO662" s="10" t="str">
        <f>""</f>
        <v/>
      </c>
    </row>
    <row r="663" spans="1:41" s="10" customFormat="1" ht="409.6">
      <c r="A663" s="9"/>
      <c r="B663" s="9"/>
      <c r="C663" s="9"/>
      <c r="D663" s="10" t="str">
        <f>"33993"</f>
        <v>33993</v>
      </c>
      <c r="E663" s="11" t="str">
        <f>""</f>
        <v/>
      </c>
      <c r="F663" s="11" t="str">
        <f t="shared" si="413"/>
        <v>372418</v>
      </c>
      <c r="G663" s="11" t="str">
        <f t="shared" si="414"/>
        <v>2017toJAN</v>
      </c>
      <c r="H663" s="11" t="str">
        <f t="shared" si="415"/>
        <v>CRSP06B</v>
      </c>
      <c r="I663" s="11" t="str">
        <f t="shared" si="416"/>
        <v>34</v>
      </c>
      <c r="J663" s="11" t="str">
        <f t="shared" si="417"/>
        <v>Creditor</v>
      </c>
      <c r="K663" s="11" t="str">
        <f t="shared" si="431"/>
        <v>CS002191</v>
      </c>
      <c r="L663" s="10" t="str">
        <f t="shared" si="432"/>
        <v>Thames Water Utilities Limited</v>
      </c>
      <c r="M663" s="12" t="str">
        <f>"18/01/2017 00:00:00"</f>
        <v>18/01/2017 00:00:00</v>
      </c>
      <c r="N663" s="12">
        <v>42753</v>
      </c>
      <c r="O663" s="10" t="str">
        <f>"C007920"</f>
        <v>C007920</v>
      </c>
      <c r="P663" s="13">
        <v>419.88</v>
      </c>
      <c r="Q663" s="11" t="str">
        <f>"419.8800"</f>
        <v>419.8800</v>
      </c>
      <c r="R663" s="10" t="str">
        <f>"C0004482"</f>
        <v>C0004482</v>
      </c>
      <c r="S663" s="14" t="str">
        <f>"784.1000"</f>
        <v>784.1000</v>
      </c>
      <c r="T663" s="10">
        <v>25580</v>
      </c>
      <c r="U663" s="10">
        <v>1250</v>
      </c>
      <c r="V663" s="10" t="str">
        <f t="shared" si="433"/>
        <v>Water services</v>
      </c>
      <c r="W663" s="10" t="str">
        <f t="shared" si="434"/>
        <v>Premises Related Expenditure</v>
      </c>
      <c r="X663" s="10" t="str">
        <f>VLOOKUP(U663,'[1]Account code lookup'!A:B,2,0)</f>
        <v>Water Charges (Metered)</v>
      </c>
      <c r="Z663" s="10" t="str">
        <f>"Environmental Services"</f>
        <v>Environmental Services</v>
      </c>
      <c r="AA663" s="10" t="str">
        <f>"Operations and Delivery"</f>
        <v>Operations and Delivery</v>
      </c>
      <c r="AB663" s="10" t="str">
        <f>"5oad"</f>
        <v>5oad</v>
      </c>
      <c r="AD663" s="10" t="str">
        <f>"oad02"</f>
        <v>oad02</v>
      </c>
      <c r="AE663" s="10" t="str">
        <f t="shared" si="435"/>
        <v>Finance &amp; Procurement / Head of Finance &amp; Procurement</v>
      </c>
      <c r="AG663" s="10" t="str">
        <f>"25580/1250"</f>
        <v>25580/1250</v>
      </c>
      <c r="AI663" s="10" t="str">
        <f t="shared" si="436"/>
        <v>12prem</v>
      </c>
      <c r="AJ663" s="15" t="str">
        <f>"Water Charges, Victoria Rd PC December - March 2017"</f>
        <v>Water Charges, Victoria Rd PC December - March 2017</v>
      </c>
      <c r="AK663" s="10" t="str">
        <f t="shared" si="427"/>
        <v>Revenue</v>
      </c>
      <c r="AL663" s="10" t="str">
        <f>""</f>
        <v/>
      </c>
      <c r="AM663" s="10" t="str">
        <f>""</f>
        <v/>
      </c>
      <c r="AN663" s="10" t="str">
        <f>""</f>
        <v/>
      </c>
      <c r="AO663" s="10" t="str">
        <f>""</f>
        <v/>
      </c>
    </row>
    <row r="664" spans="1:41" s="10" customFormat="1" ht="409.6">
      <c r="A664" s="9"/>
      <c r="B664" s="9"/>
      <c r="C664" s="9"/>
      <c r="D664" s="10" t="str">
        <f>"33994"</f>
        <v>33994</v>
      </c>
      <c r="E664" s="11" t="str">
        <f>""</f>
        <v/>
      </c>
      <c r="F664" s="11" t="str">
        <f t="shared" si="413"/>
        <v>372418</v>
      </c>
      <c r="G664" s="11" t="str">
        <f t="shared" si="414"/>
        <v>2017toJAN</v>
      </c>
      <c r="H664" s="11" t="str">
        <f t="shared" si="415"/>
        <v>CRSP06B</v>
      </c>
      <c r="I664" s="11" t="str">
        <f t="shared" si="416"/>
        <v>34</v>
      </c>
      <c r="J664" s="11" t="str">
        <f t="shared" si="417"/>
        <v>Creditor</v>
      </c>
      <c r="K664" s="11" t="str">
        <f t="shared" si="431"/>
        <v>CS002191</v>
      </c>
      <c r="L664" s="10" t="str">
        <f t="shared" si="432"/>
        <v>Thames Water Utilities Limited</v>
      </c>
      <c r="M664" s="12" t="str">
        <f>"18/01/2017 00:00:00"</f>
        <v>18/01/2017 00:00:00</v>
      </c>
      <c r="N664" s="12">
        <v>42753</v>
      </c>
      <c r="O664" s="10" t="str">
        <f>"C007902"</f>
        <v>C007902</v>
      </c>
      <c r="P664" s="13">
        <v>27.23</v>
      </c>
      <c r="Q664" s="11" t="str">
        <f>"27.2300"</f>
        <v>27.2300</v>
      </c>
      <c r="R664" s="10" t="str">
        <f>"C0004482"</f>
        <v>C0004482</v>
      </c>
      <c r="S664" s="14" t="str">
        <f>"784.1000"</f>
        <v>784.1000</v>
      </c>
      <c r="T664" s="10">
        <v>29510</v>
      </c>
      <c r="U664" s="10">
        <v>1250</v>
      </c>
      <c r="V664" s="10" t="str">
        <f t="shared" si="433"/>
        <v>Water services</v>
      </c>
      <c r="W664" s="10" t="str">
        <f t="shared" si="434"/>
        <v>Premises Related Expenditure</v>
      </c>
      <c r="X664" s="10" t="str">
        <f>VLOOKUP(U664,'[1]Account code lookup'!A:B,2,0)</f>
        <v>Water Charges (Metered)</v>
      </c>
      <c r="Z664" s="10" t="str">
        <f>"Regeneration and Housing"</f>
        <v>Regeneration and Housing</v>
      </c>
      <c r="AA664" s="10" t="str">
        <f>"Commercial Development"</f>
        <v>Commercial Development</v>
      </c>
      <c r="AB664" s="10" t="str">
        <f>"2cdb"</f>
        <v>2cdb</v>
      </c>
      <c r="AD664" s="10" t="str">
        <f>"cdb02"</f>
        <v>cdb02</v>
      </c>
      <c r="AE664" s="10" t="str">
        <f>"Regeneration &amp; Housing / Delivery Team"</f>
        <v>Regeneration &amp; Housing / Delivery Team</v>
      </c>
      <c r="AG664" s="10" t="str">
        <f>"29510/1250"</f>
        <v>29510/1250</v>
      </c>
      <c r="AI664" s="10" t="str">
        <f t="shared" si="436"/>
        <v>12prem</v>
      </c>
      <c r="AJ664" s="15" t="str">
        <f>""</f>
        <v/>
      </c>
      <c r="AK664" s="10" t="str">
        <f t="shared" si="427"/>
        <v>Revenue</v>
      </c>
      <c r="AL664" s="10" t="str">
        <f>""</f>
        <v/>
      </c>
      <c r="AM664" s="10" t="str">
        <f>""</f>
        <v/>
      </c>
      <c r="AN664" s="10" t="str">
        <f>""</f>
        <v/>
      </c>
      <c r="AO664" s="10" t="str">
        <f>""</f>
        <v/>
      </c>
    </row>
    <row r="665" spans="1:41" s="10" customFormat="1" ht="409.6">
      <c r="A665" s="9"/>
      <c r="B665" s="9"/>
      <c r="C665" s="9"/>
      <c r="D665" s="10" t="str">
        <f>"34148"</f>
        <v>34148</v>
      </c>
      <c r="E665" s="11" t="str">
        <f>""</f>
        <v/>
      </c>
      <c r="F665" s="11" t="str">
        <f t="shared" si="413"/>
        <v>372418</v>
      </c>
      <c r="G665" s="11" t="str">
        <f t="shared" si="414"/>
        <v>2017toJAN</v>
      </c>
      <c r="H665" s="11" t="str">
        <f t="shared" si="415"/>
        <v>CRSP06B</v>
      </c>
      <c r="I665" s="11" t="str">
        <f t="shared" si="416"/>
        <v>34</v>
      </c>
      <c r="J665" s="11" t="str">
        <f t="shared" si="417"/>
        <v>Creditor</v>
      </c>
      <c r="K665" s="11" t="str">
        <f t="shared" si="431"/>
        <v>CS002191</v>
      </c>
      <c r="L665" s="10" t="str">
        <f t="shared" si="432"/>
        <v>Thames Water Utilities Limited</v>
      </c>
      <c r="M665" s="12" t="str">
        <f>"18/01/2017 00:00:00"</f>
        <v>18/01/2017 00:00:00</v>
      </c>
      <c r="N665" s="12">
        <v>42753</v>
      </c>
      <c r="O665" s="10" t="str">
        <f>"C007902"</f>
        <v>C007902</v>
      </c>
      <c r="P665" s="13">
        <v>23.69</v>
      </c>
      <c r="Q665" s="11" t="str">
        <f>"23.6900"</f>
        <v>23.6900</v>
      </c>
      <c r="R665" s="10" t="str">
        <f>"C0004482"</f>
        <v>C0004482</v>
      </c>
      <c r="S665" s="14" t="str">
        <f>"784.1000"</f>
        <v>784.1000</v>
      </c>
      <c r="T665" s="10">
        <v>29510</v>
      </c>
      <c r="U665" s="10">
        <v>1250</v>
      </c>
      <c r="V665" s="10" t="str">
        <f t="shared" si="433"/>
        <v>Water services</v>
      </c>
      <c r="W665" s="10" t="str">
        <f t="shared" si="434"/>
        <v>Premises Related Expenditure</v>
      </c>
      <c r="X665" s="10" t="str">
        <f>VLOOKUP(U665,'[1]Account code lookup'!A:B,2,0)</f>
        <v>Water Charges (Metered)</v>
      </c>
      <c r="Z665" s="10" t="str">
        <f>"Regeneration and Housing"</f>
        <v>Regeneration and Housing</v>
      </c>
      <c r="AA665" s="10" t="str">
        <f>"Commercial Development"</f>
        <v>Commercial Development</v>
      </c>
      <c r="AB665" s="10" t="str">
        <f>"2cdb"</f>
        <v>2cdb</v>
      </c>
      <c r="AD665" s="10" t="str">
        <f>"cdb02"</f>
        <v>cdb02</v>
      </c>
      <c r="AE665" s="10" t="str">
        <f>"Regeneration &amp; Housing / Delivery Team"</f>
        <v>Regeneration &amp; Housing / Delivery Team</v>
      </c>
      <c r="AG665" s="10" t="str">
        <f>"29510/1250"</f>
        <v>29510/1250</v>
      </c>
      <c r="AI665" s="10" t="str">
        <f t="shared" si="436"/>
        <v>12prem</v>
      </c>
      <c r="AJ665" s="15" t="str">
        <f>"Water charges for Bicester Library - 15th June 2016 - 6th September 2016.a/c 18512-18517"</f>
        <v>Water charges for Bicester Library - 15th June 2016 - 6th September 2016.a/c 18512-18517</v>
      </c>
      <c r="AK665" s="10" t="str">
        <f t="shared" si="427"/>
        <v>Revenue</v>
      </c>
      <c r="AL665" s="10" t="str">
        <f>""</f>
        <v/>
      </c>
      <c r="AM665" s="10" t="str">
        <f>""</f>
        <v/>
      </c>
      <c r="AN665" s="10" t="str">
        <f>""</f>
        <v/>
      </c>
      <c r="AO665" s="10" t="str">
        <f>""</f>
        <v/>
      </c>
    </row>
    <row r="666" spans="1:41" s="10" customFormat="1" ht="409.6">
      <c r="A666" s="9"/>
      <c r="B666" s="9"/>
      <c r="C666" s="9"/>
      <c r="D666" s="10" t="str">
        <f>"34149"</f>
        <v>34149</v>
      </c>
      <c r="E666" s="11" t="str">
        <f>""</f>
        <v/>
      </c>
      <c r="F666" s="11" t="str">
        <f t="shared" si="413"/>
        <v>372418</v>
      </c>
      <c r="G666" s="11" t="str">
        <f t="shared" si="414"/>
        <v>2017toJAN</v>
      </c>
      <c r="H666" s="11" t="str">
        <f t="shared" si="415"/>
        <v>CRSP06B</v>
      </c>
      <c r="I666" s="11" t="str">
        <f t="shared" si="416"/>
        <v>34</v>
      </c>
      <c r="J666" s="11" t="str">
        <f t="shared" si="417"/>
        <v>Creditor</v>
      </c>
      <c r="K666" s="11" t="str">
        <f>"CS002193"</f>
        <v>CS002193</v>
      </c>
      <c r="L666" s="10" t="str">
        <f>"The Answering Service Ltd"</f>
        <v>The Answering Service Ltd</v>
      </c>
      <c r="M666" s="12" t="str">
        <f>"20/01/2017 00:00:00"</f>
        <v>20/01/2017 00:00:00</v>
      </c>
      <c r="N666" s="12">
        <v>42755</v>
      </c>
      <c r="O666" s="10" t="str">
        <f>"C007666"</f>
        <v>C007666</v>
      </c>
      <c r="P666" s="13">
        <v>451.94</v>
      </c>
      <c r="Q666" s="11" t="str">
        <f>"451.9400"</f>
        <v>451.9400</v>
      </c>
      <c r="R666" s="10" t="str">
        <f>"C0004511"</f>
        <v>C0004511</v>
      </c>
      <c r="S666" s="14" t="str">
        <f>"542.3300"</f>
        <v>542.3300</v>
      </c>
      <c r="T666" s="10">
        <v>21717</v>
      </c>
      <c r="U666" s="10">
        <v>1511</v>
      </c>
      <c r="V666" s="10" t="str">
        <f>"Communications and computing"</f>
        <v>Communications and computing</v>
      </c>
      <c r="W666" s="10" t="str">
        <f>"Supplies and Services"</f>
        <v>Supplies and Services</v>
      </c>
      <c r="X666" s="10" t="str">
        <f>VLOOKUP(U666,'[1]Account code lookup'!A:B,2,0)</f>
        <v>Telephone Rentals &amp; Calls Exps</v>
      </c>
      <c r="Z666" s="10" t="str">
        <f>"Regeneration and Housing"</f>
        <v>Regeneration and Housing</v>
      </c>
      <c r="AA666" s="10" t="str">
        <f>"Commercial Development"</f>
        <v>Commercial Development</v>
      </c>
      <c r="AB666" s="10" t="str">
        <f>"2cdb"</f>
        <v>2cdb</v>
      </c>
      <c r="AD666" s="10" t="str">
        <f>"cdb02"</f>
        <v>cdb02</v>
      </c>
      <c r="AE666" s="10" t="str">
        <f>"Regeneration &amp; Housing / Assets &amp; Facilities Management"</f>
        <v>Regeneration &amp; Housing / Assets &amp; Facilities Management</v>
      </c>
      <c r="AG666" s="10" t="str">
        <f>"21717/1511"</f>
        <v>21717/1511</v>
      </c>
      <c r="AI666" s="10" t="str">
        <f>"14suse"</f>
        <v>14suse</v>
      </c>
      <c r="AJ666" s="15" t="str">
        <f>""</f>
        <v/>
      </c>
      <c r="AK666" s="10" t="str">
        <f t="shared" si="427"/>
        <v>Revenue</v>
      </c>
      <c r="AL666" s="10" t="str">
        <f>""</f>
        <v/>
      </c>
      <c r="AM666" s="10" t="str">
        <f>""</f>
        <v/>
      </c>
      <c r="AN666" s="10" t="str">
        <f>""</f>
        <v/>
      </c>
      <c r="AO666" s="10" t="str">
        <f>""</f>
        <v/>
      </c>
    </row>
    <row r="667" spans="1:41" s="10" customFormat="1" ht="409.6">
      <c r="A667" s="9"/>
      <c r="B667" s="9"/>
      <c r="C667" s="9"/>
      <c r="D667" s="10" t="str">
        <f>"34150"</f>
        <v>34150</v>
      </c>
      <c r="E667" s="11" t="str">
        <f>""</f>
        <v/>
      </c>
      <c r="F667" s="11" t="str">
        <f t="shared" si="413"/>
        <v>372418</v>
      </c>
      <c r="G667" s="11" t="str">
        <f t="shared" si="414"/>
        <v>2017toJAN</v>
      </c>
      <c r="H667" s="11" t="str">
        <f t="shared" si="415"/>
        <v>CRSP06B</v>
      </c>
      <c r="I667" s="11" t="str">
        <f t="shared" si="416"/>
        <v>34</v>
      </c>
      <c r="J667" s="11" t="str">
        <f t="shared" si="417"/>
        <v>Creditor</v>
      </c>
      <c r="K667" s="11" t="str">
        <f>"CS002451"</f>
        <v>CS002451</v>
      </c>
      <c r="L667" s="10" t="str">
        <f>"The Apprenticeship &amp; Training Company Ltd"</f>
        <v>The Apprenticeship &amp; Training Company Ltd</v>
      </c>
      <c r="M667" s="12" t="str">
        <f>"19/01/2017 00:00:00"</f>
        <v>19/01/2017 00:00:00</v>
      </c>
      <c r="N667" s="12">
        <v>42754</v>
      </c>
      <c r="O667" s="10" t="str">
        <f>"C007925"</f>
        <v>C007925</v>
      </c>
      <c r="P667" s="13">
        <v>10000</v>
      </c>
      <c r="Q667" s="11" t="str">
        <f>"10000.0000"</f>
        <v>10000.0000</v>
      </c>
      <c r="R667" s="10" t="str">
        <f>"059247"</f>
        <v>059247</v>
      </c>
      <c r="S667" s="14" t="str">
        <f>"10000.0000"</f>
        <v>10000.0000</v>
      </c>
      <c r="T667" s="10">
        <v>29224</v>
      </c>
      <c r="U667" s="10">
        <v>1580</v>
      </c>
      <c r="V667" s="10" t="str">
        <f>"Grants and subscriptions"</f>
        <v>Grants and subscriptions</v>
      </c>
      <c r="W667" s="10" t="str">
        <f>"Supplies and Services"</f>
        <v>Supplies and Services</v>
      </c>
      <c r="X667" s="10" t="str">
        <f>VLOOKUP(U667,'[1]Account code lookup'!A:B,2,0)</f>
        <v>Grants</v>
      </c>
      <c r="Z667" s="10" t="str">
        <f>"Bicester Regeneration Projects"</f>
        <v>Bicester Regeneration Projects</v>
      </c>
      <c r="AA667" s="10" t="str">
        <f>"Commercial Development"</f>
        <v>Commercial Development</v>
      </c>
      <c r="AB667" s="10" t="str">
        <f>"2cdb"</f>
        <v>2cdb</v>
      </c>
      <c r="AD667" s="10" t="str">
        <f>"cdb01"</f>
        <v>cdb01</v>
      </c>
      <c r="AE667" s="10" t="str">
        <f>"Finance &amp; Procurement / Head of Finance &amp; Procurement"</f>
        <v>Finance &amp; Procurement / Head of Finance &amp; Procurement</v>
      </c>
      <c r="AG667" s="10" t="str">
        <f>"29224/1580"</f>
        <v>29224/1580</v>
      </c>
      <c r="AI667" s="10" t="str">
        <f>"14suse"</f>
        <v>14suse</v>
      </c>
      <c r="AJ667" s="15" t="str">
        <f>"Transfer of ATA grant funding for early operation of the company."</f>
        <v>Transfer of ATA grant funding for early operation of the company.</v>
      </c>
      <c r="AK667" s="10" t="str">
        <f t="shared" si="427"/>
        <v>Revenue</v>
      </c>
      <c r="AL667" s="10" t="str">
        <f>""</f>
        <v/>
      </c>
      <c r="AM667" s="10" t="str">
        <f>""</f>
        <v/>
      </c>
      <c r="AN667" s="10" t="str">
        <f>""</f>
        <v/>
      </c>
      <c r="AO667" s="10" t="str">
        <f>""</f>
        <v/>
      </c>
    </row>
    <row r="668" spans="1:41" s="10" customFormat="1" ht="409.6">
      <c r="A668" s="9"/>
      <c r="B668" s="9"/>
      <c r="C668" s="9"/>
      <c r="D668" s="10" t="str">
        <f>"34152"</f>
        <v>34152</v>
      </c>
      <c r="E668" s="11" t="str">
        <f>""</f>
        <v/>
      </c>
      <c r="F668" s="11" t="str">
        <f t="shared" si="413"/>
        <v>372418</v>
      </c>
      <c r="G668" s="11" t="str">
        <f t="shared" si="414"/>
        <v>2017toJAN</v>
      </c>
      <c r="H668" s="11" t="str">
        <f t="shared" si="415"/>
        <v>CRSP06B</v>
      </c>
      <c r="I668" s="11" t="str">
        <f t="shared" si="416"/>
        <v>34</v>
      </c>
      <c r="J668" s="11" t="str">
        <f t="shared" si="417"/>
        <v>Creditor</v>
      </c>
      <c r="K668" s="11" t="str">
        <f>"CS002243"</f>
        <v>CS002243</v>
      </c>
      <c r="L668" s="10" t="str">
        <f>"The National Door to Door Company"</f>
        <v>The National Door to Door Company</v>
      </c>
      <c r="M668" s="12" t="str">
        <f>"13/01/2017 00:00:00"</f>
        <v>13/01/2017 00:00:00</v>
      </c>
      <c r="N668" s="12">
        <v>42748</v>
      </c>
      <c r="O668" s="10" t="str">
        <f>"C007807"</f>
        <v>C007807</v>
      </c>
      <c r="P668" s="13">
        <v>7151.05</v>
      </c>
      <c r="Q668" s="11" t="str">
        <f>"7151.0500"</f>
        <v>7151.0500</v>
      </c>
      <c r="R668" s="10" t="str">
        <f>"C0004419"</f>
        <v>C0004419</v>
      </c>
      <c r="S668" s="14" t="str">
        <f>"8581.2600"</f>
        <v>8581.2600</v>
      </c>
      <c r="T668" s="10">
        <v>22107</v>
      </c>
      <c r="U668" s="10">
        <v>1448</v>
      </c>
      <c r="V668" s="10" t="str">
        <f>"Printing Stationery &amp; Off Supp"</f>
        <v>Printing Stationery &amp; Off Supp</v>
      </c>
      <c r="W668" s="10" t="str">
        <f>"Supplies and Services"</f>
        <v>Supplies and Services</v>
      </c>
      <c r="X668" s="10" t="str">
        <f>VLOOKUP(U668,'[1]Account code lookup'!A:B,2,0)</f>
        <v>Cherwell Link Publication</v>
      </c>
      <c r="Z668" s="10" t="str">
        <f>"Communications and Corporate P"</f>
        <v>Communications and Corporate P</v>
      </c>
      <c r="AA668" s="10" t="str">
        <f>"Strategy and Commissioning"</f>
        <v>Strategy and Commissioning</v>
      </c>
      <c r="AB668" s="10" t="str">
        <f>"4sac"</f>
        <v>4sac</v>
      </c>
      <c r="AD668" s="10" t="str">
        <f>"sac03"</f>
        <v>sac03</v>
      </c>
      <c r="AE668" s="10" t="str">
        <f>"Finance &amp; Procurement / Head of Finance &amp; Procurement"</f>
        <v>Finance &amp; Procurement / Head of Finance &amp; Procurement</v>
      </c>
      <c r="AG668" s="10" t="str">
        <f>"22107/1448"</f>
        <v>22107/1448</v>
      </c>
      <c r="AI668" s="10" t="str">
        <f>"14suse"</f>
        <v>14suse</v>
      </c>
      <c r="AJ668" s="15" t="str">
        <f>"Cherwell Link winter edition distribution._x000D_
62183 copies"</f>
        <v>Cherwell Link winter edition distribution._x000D_
62183 copies</v>
      </c>
      <c r="AK668" s="10" t="str">
        <f>"Revenue"</f>
        <v>Revenue</v>
      </c>
      <c r="AL668" s="10" t="str">
        <f>""</f>
        <v/>
      </c>
      <c r="AM668" s="10" t="str">
        <f>""</f>
        <v/>
      </c>
      <c r="AN668" s="10" t="str">
        <f>""</f>
        <v/>
      </c>
      <c r="AO668" s="10" t="str">
        <f>""</f>
        <v/>
      </c>
    </row>
    <row r="669" spans="1:41" s="10" customFormat="1" ht="409.6">
      <c r="A669" s="9"/>
      <c r="B669" s="9"/>
      <c r="C669" s="9"/>
      <c r="D669" s="10" t="str">
        <f>"34154"</f>
        <v>34154</v>
      </c>
      <c r="E669" s="11" t="str">
        <f>""</f>
        <v/>
      </c>
      <c r="F669" s="11" t="str">
        <f t="shared" si="413"/>
        <v>372418</v>
      </c>
      <c r="G669" s="11" t="str">
        <f t="shared" si="414"/>
        <v>2017toJAN</v>
      </c>
      <c r="H669" s="11" t="str">
        <f t="shared" si="415"/>
        <v>CRSP06B</v>
      </c>
      <c r="I669" s="11" t="str">
        <f t="shared" si="416"/>
        <v>34</v>
      </c>
      <c r="J669" s="11" t="str">
        <f t="shared" si="417"/>
        <v>Creditor</v>
      </c>
      <c r="K669" s="11" t="str">
        <f t="shared" ref="K669:K676" si="437">"CS002037"</f>
        <v>CS002037</v>
      </c>
      <c r="L669" s="10" t="str">
        <f t="shared" ref="L669:L676" si="438">"Total Gas &amp; Power"</f>
        <v>Total Gas &amp; Power</v>
      </c>
      <c r="M669" s="12" t="str">
        <f t="shared" ref="M669:M676" si="439">"13/01/2017 00:00:00"</f>
        <v>13/01/2017 00:00:00</v>
      </c>
      <c r="N669" s="12">
        <v>42748</v>
      </c>
      <c r="O669" s="10" t="str">
        <f>"C007855"</f>
        <v>C007855</v>
      </c>
      <c r="P669" s="13">
        <v>301.58999999999997</v>
      </c>
      <c r="Q669" s="11" t="str">
        <f>"301.5900"</f>
        <v>301.5900</v>
      </c>
      <c r="R669" s="10" t="str">
        <f t="shared" ref="R669:R676" si="440">"C0004415"</f>
        <v>C0004415</v>
      </c>
      <c r="S669" s="14" t="str">
        <f t="shared" ref="S669:S676" si="441">"2821.9500"</f>
        <v>2821.9500</v>
      </c>
      <c r="T669" s="10">
        <v>21714</v>
      </c>
      <c r="U669" s="10">
        <v>1221</v>
      </c>
      <c r="V669" s="10" t="str">
        <f t="shared" ref="V669:V676" si="442">"Energy Costs"</f>
        <v>Energy Costs</v>
      </c>
      <c r="W669" s="10" t="str">
        <f t="shared" ref="W669:W677" si="443">"Premises Related Expenditure"</f>
        <v>Premises Related Expenditure</v>
      </c>
      <c r="X669" s="10" t="str">
        <f>VLOOKUP(U669,'[1]Account code lookup'!A:B,2,0)</f>
        <v>Gas</v>
      </c>
      <c r="Z669" s="10" t="str">
        <f t="shared" ref="Z669:Z677" si="444">"Regeneration and Housing"</f>
        <v>Regeneration and Housing</v>
      </c>
      <c r="AA669" s="10" t="str">
        <f t="shared" ref="AA669:AA677" si="445">"Commercial Development"</f>
        <v>Commercial Development</v>
      </c>
      <c r="AB669" s="10" t="str">
        <f t="shared" ref="AB669:AB677" si="446">"2cdb"</f>
        <v>2cdb</v>
      </c>
      <c r="AD669" s="10" t="str">
        <f t="shared" ref="AD669:AD677" si="447">"cdb02"</f>
        <v>cdb02</v>
      </c>
      <c r="AE669" s="10" t="str">
        <f>"Finance &amp; Procurement / Head of Finance &amp; Procurement"</f>
        <v>Finance &amp; Procurement / Head of Finance &amp; Procurement</v>
      </c>
      <c r="AG669" s="10" t="str">
        <f>"21714/1221"</f>
        <v>21714/1221</v>
      </c>
      <c r="AI669" s="10" t="str">
        <f t="shared" ref="AI669:AI677" si="448">"12prem"</f>
        <v>12prem</v>
      </c>
      <c r="AJ669" s="15" t="str">
        <f>"Gas Charges - TLD November"</f>
        <v>Gas Charges - TLD November</v>
      </c>
      <c r="AK669" s="10" t="str">
        <f t="shared" ref="AK669:AK677" si="449">"Revenue"</f>
        <v>Revenue</v>
      </c>
      <c r="AL669" s="10" t="str">
        <f>""</f>
        <v/>
      </c>
      <c r="AM669" s="10" t="str">
        <f>""</f>
        <v/>
      </c>
      <c r="AN669" s="10" t="str">
        <f>""</f>
        <v/>
      </c>
      <c r="AO669" s="10" t="str">
        <f>""</f>
        <v/>
      </c>
    </row>
    <row r="670" spans="1:41" s="10" customFormat="1" ht="409.6">
      <c r="A670" s="9"/>
      <c r="B670" s="9"/>
      <c r="C670" s="9"/>
      <c r="D670" s="10" t="str">
        <f>"34155"</f>
        <v>34155</v>
      </c>
      <c r="E670" s="11" t="str">
        <f>""</f>
        <v/>
      </c>
      <c r="F670" s="11" t="str">
        <f t="shared" si="413"/>
        <v>372418</v>
      </c>
      <c r="G670" s="11" t="str">
        <f t="shared" si="414"/>
        <v>2017toJAN</v>
      </c>
      <c r="H670" s="11" t="str">
        <f t="shared" si="415"/>
        <v>CRSP06B</v>
      </c>
      <c r="I670" s="11" t="str">
        <f t="shared" si="416"/>
        <v>34</v>
      </c>
      <c r="J670" s="11" t="str">
        <f t="shared" si="417"/>
        <v>Creditor</v>
      </c>
      <c r="K670" s="11" t="str">
        <f t="shared" si="437"/>
        <v>CS002037</v>
      </c>
      <c r="L670" s="10" t="str">
        <f t="shared" si="438"/>
        <v>Total Gas &amp; Power</v>
      </c>
      <c r="M670" s="12" t="str">
        <f t="shared" si="439"/>
        <v>13/01/2017 00:00:00</v>
      </c>
      <c r="N670" s="12">
        <v>42748</v>
      </c>
      <c r="O670" s="10" t="str">
        <f>"C006683"</f>
        <v>C006683</v>
      </c>
      <c r="P670" s="13">
        <v>-78.599999999999994</v>
      </c>
      <c r="Q670" s="11" t="str">
        <f>"-78.6000"</f>
        <v>-78.6000</v>
      </c>
      <c r="R670" s="10" t="str">
        <f t="shared" si="440"/>
        <v>C0004415</v>
      </c>
      <c r="S670" s="14" t="str">
        <f t="shared" si="441"/>
        <v>2821.9500</v>
      </c>
      <c r="T670" s="10">
        <v>21715</v>
      </c>
      <c r="U670" s="10">
        <v>1221</v>
      </c>
      <c r="V670" s="10" t="str">
        <f t="shared" si="442"/>
        <v>Energy Costs</v>
      </c>
      <c r="W670" s="10" t="str">
        <f t="shared" si="443"/>
        <v>Premises Related Expenditure</v>
      </c>
      <c r="X670" s="10" t="str">
        <f>VLOOKUP(U670,'[1]Account code lookup'!A:B,2,0)</f>
        <v>Gas</v>
      </c>
      <c r="Z670" s="10" t="str">
        <f t="shared" si="444"/>
        <v>Regeneration and Housing</v>
      </c>
      <c r="AA670" s="10" t="str">
        <f t="shared" si="445"/>
        <v>Commercial Development</v>
      </c>
      <c r="AB670" s="10" t="str">
        <f t="shared" si="446"/>
        <v>2cdb</v>
      </c>
      <c r="AD670" s="10" t="str">
        <f t="shared" si="447"/>
        <v>cdb02</v>
      </c>
      <c r="AE670" s="10" t="str">
        <f>"Regeneration &amp; Housing / Assets &amp; Facilities Management"</f>
        <v>Regeneration &amp; Housing / Assets &amp; Facilities Management</v>
      </c>
      <c r="AG670" s="10" t="str">
        <f>"21715/1221"</f>
        <v>21715/1221</v>
      </c>
      <c r="AI670" s="10" t="str">
        <f t="shared" si="448"/>
        <v>12prem</v>
      </c>
      <c r="AJ670" s="15" t="str">
        <f>"Highfield Depot"</f>
        <v>Highfield Depot</v>
      </c>
      <c r="AK670" s="10" t="str">
        <f t="shared" si="449"/>
        <v>Revenue</v>
      </c>
      <c r="AL670" s="10" t="str">
        <f>""</f>
        <v/>
      </c>
      <c r="AM670" s="10" t="str">
        <f>""</f>
        <v/>
      </c>
      <c r="AN670" s="10" t="str">
        <f>""</f>
        <v/>
      </c>
      <c r="AO670" s="10" t="str">
        <f>""</f>
        <v/>
      </c>
    </row>
    <row r="671" spans="1:41" s="10" customFormat="1" ht="409.6">
      <c r="A671" s="9"/>
      <c r="B671" s="9"/>
      <c r="C671" s="9"/>
      <c r="D671" s="10" t="str">
        <f>"34156"</f>
        <v>34156</v>
      </c>
      <c r="E671" s="11" t="str">
        <f>""</f>
        <v/>
      </c>
      <c r="F671" s="11" t="str">
        <f t="shared" si="413"/>
        <v>372418</v>
      </c>
      <c r="G671" s="11" t="str">
        <f t="shared" si="414"/>
        <v>2017toJAN</v>
      </c>
      <c r="H671" s="11" t="str">
        <f t="shared" si="415"/>
        <v>CRSP06B</v>
      </c>
      <c r="I671" s="11" t="str">
        <f t="shared" si="416"/>
        <v>34</v>
      </c>
      <c r="J671" s="11" t="str">
        <f t="shared" si="417"/>
        <v>Creditor</v>
      </c>
      <c r="K671" s="11" t="str">
        <f t="shared" si="437"/>
        <v>CS002037</v>
      </c>
      <c r="L671" s="10" t="str">
        <f t="shared" si="438"/>
        <v>Total Gas &amp; Power</v>
      </c>
      <c r="M671" s="12" t="str">
        <f t="shared" si="439"/>
        <v>13/01/2017 00:00:00</v>
      </c>
      <c r="N671" s="12">
        <v>42748</v>
      </c>
      <c r="O671" s="10" t="str">
        <f>"C006684"</f>
        <v>C006684</v>
      </c>
      <c r="P671" s="13">
        <v>-51.23</v>
      </c>
      <c r="Q671" s="11" t="str">
        <f>"-51.2300"</f>
        <v>-51.2300</v>
      </c>
      <c r="R671" s="10" t="str">
        <f t="shared" si="440"/>
        <v>C0004415</v>
      </c>
      <c r="S671" s="14" t="str">
        <f t="shared" si="441"/>
        <v>2821.9500</v>
      </c>
      <c r="T671" s="10">
        <v>21715</v>
      </c>
      <c r="U671" s="10">
        <v>1221</v>
      </c>
      <c r="V671" s="10" t="str">
        <f t="shared" si="442"/>
        <v>Energy Costs</v>
      </c>
      <c r="W671" s="10" t="str">
        <f t="shared" si="443"/>
        <v>Premises Related Expenditure</v>
      </c>
      <c r="X671" s="10" t="str">
        <f>VLOOKUP(U671,'[1]Account code lookup'!A:B,2,0)</f>
        <v>Gas</v>
      </c>
      <c r="Z671" s="10" t="str">
        <f t="shared" si="444"/>
        <v>Regeneration and Housing</v>
      </c>
      <c r="AA671" s="10" t="str">
        <f t="shared" si="445"/>
        <v>Commercial Development</v>
      </c>
      <c r="AB671" s="10" t="str">
        <f t="shared" si="446"/>
        <v>2cdb</v>
      </c>
      <c r="AD671" s="10" t="str">
        <f t="shared" si="447"/>
        <v>cdb02</v>
      </c>
      <c r="AE671" s="10" t="str">
        <f>"Regeneration &amp; Housing / Assets &amp; Facilities Management"</f>
        <v>Regeneration &amp; Housing / Assets &amp; Facilities Management</v>
      </c>
      <c r="AG671" s="10" t="str">
        <f>"21715/1221"</f>
        <v>21715/1221</v>
      </c>
      <c r="AI671" s="10" t="str">
        <f t="shared" si="448"/>
        <v>12prem</v>
      </c>
      <c r="AJ671" s="15" t="str">
        <f>"Highfield Depot"</f>
        <v>Highfield Depot</v>
      </c>
      <c r="AK671" s="10" t="str">
        <f t="shared" si="449"/>
        <v>Revenue</v>
      </c>
      <c r="AL671" s="10" t="str">
        <f>""</f>
        <v/>
      </c>
      <c r="AM671" s="10" t="str">
        <f>""</f>
        <v/>
      </c>
      <c r="AN671" s="10" t="str">
        <f>""</f>
        <v/>
      </c>
      <c r="AO671" s="10" t="str">
        <f>""</f>
        <v/>
      </c>
    </row>
    <row r="672" spans="1:41" s="10" customFormat="1" ht="409.6">
      <c r="A672" s="9"/>
      <c r="B672" s="9"/>
      <c r="C672" s="9"/>
      <c r="D672" s="10" t="str">
        <f>"34157"</f>
        <v>34157</v>
      </c>
      <c r="E672" s="11" t="str">
        <f>""</f>
        <v/>
      </c>
      <c r="F672" s="11" t="str">
        <f t="shared" si="413"/>
        <v>372418</v>
      </c>
      <c r="G672" s="11" t="str">
        <f t="shared" si="414"/>
        <v>2017toJAN</v>
      </c>
      <c r="H672" s="11" t="str">
        <f t="shared" si="415"/>
        <v>CRSP06B</v>
      </c>
      <c r="I672" s="11" t="str">
        <f t="shared" si="416"/>
        <v>34</v>
      </c>
      <c r="J672" s="11" t="str">
        <f t="shared" si="417"/>
        <v>Creditor</v>
      </c>
      <c r="K672" s="11" t="str">
        <f t="shared" si="437"/>
        <v>CS002037</v>
      </c>
      <c r="L672" s="10" t="str">
        <f t="shared" si="438"/>
        <v>Total Gas &amp; Power</v>
      </c>
      <c r="M672" s="12" t="str">
        <f t="shared" si="439"/>
        <v>13/01/2017 00:00:00</v>
      </c>
      <c r="N672" s="12">
        <v>42748</v>
      </c>
      <c r="O672" s="10" t="str">
        <f>"C006685"</f>
        <v>C006685</v>
      </c>
      <c r="P672" s="13">
        <v>-53.27</v>
      </c>
      <c r="Q672" s="11" t="str">
        <f>"-53.2700"</f>
        <v>-53.2700</v>
      </c>
      <c r="R672" s="10" t="str">
        <f t="shared" si="440"/>
        <v>C0004415</v>
      </c>
      <c r="S672" s="14" t="str">
        <f t="shared" si="441"/>
        <v>2821.9500</v>
      </c>
      <c r="T672" s="10">
        <v>21715</v>
      </c>
      <c r="U672" s="10">
        <v>1221</v>
      </c>
      <c r="V672" s="10" t="str">
        <f t="shared" si="442"/>
        <v>Energy Costs</v>
      </c>
      <c r="W672" s="10" t="str">
        <f t="shared" si="443"/>
        <v>Premises Related Expenditure</v>
      </c>
      <c r="X672" s="10" t="str">
        <f>VLOOKUP(U672,'[1]Account code lookup'!A:B,2,0)</f>
        <v>Gas</v>
      </c>
      <c r="Z672" s="10" t="str">
        <f t="shared" si="444"/>
        <v>Regeneration and Housing</v>
      </c>
      <c r="AA672" s="10" t="str">
        <f t="shared" si="445"/>
        <v>Commercial Development</v>
      </c>
      <c r="AB672" s="10" t="str">
        <f t="shared" si="446"/>
        <v>2cdb</v>
      </c>
      <c r="AD672" s="10" t="str">
        <f t="shared" si="447"/>
        <v>cdb02</v>
      </c>
      <c r="AE672" s="10" t="str">
        <f>"Regeneration &amp; Housing / Assets &amp; Facilities Management"</f>
        <v>Regeneration &amp; Housing / Assets &amp; Facilities Management</v>
      </c>
      <c r="AG672" s="10" t="str">
        <f>"21715/1221"</f>
        <v>21715/1221</v>
      </c>
      <c r="AI672" s="10" t="str">
        <f t="shared" si="448"/>
        <v>12prem</v>
      </c>
      <c r="AJ672" s="15" t="str">
        <f>"Highfield Depot"</f>
        <v>Highfield Depot</v>
      </c>
      <c r="AK672" s="10" t="str">
        <f t="shared" si="449"/>
        <v>Revenue</v>
      </c>
      <c r="AL672" s="10" t="str">
        <f>""</f>
        <v/>
      </c>
      <c r="AM672" s="10" t="str">
        <f>""</f>
        <v/>
      </c>
      <c r="AN672" s="10" t="str">
        <f>""</f>
        <v/>
      </c>
      <c r="AO672" s="10" t="str">
        <f>""</f>
        <v/>
      </c>
    </row>
    <row r="673" spans="1:41" s="10" customFormat="1" ht="409.6">
      <c r="A673" s="9"/>
      <c r="B673" s="9"/>
      <c r="C673" s="9"/>
      <c r="D673" s="10" t="str">
        <f>"34158"</f>
        <v>34158</v>
      </c>
      <c r="E673" s="11" t="str">
        <f>""</f>
        <v/>
      </c>
      <c r="F673" s="11" t="str">
        <f t="shared" si="413"/>
        <v>372418</v>
      </c>
      <c r="G673" s="11" t="str">
        <f t="shared" si="414"/>
        <v>2017toJAN</v>
      </c>
      <c r="H673" s="11" t="str">
        <f t="shared" si="415"/>
        <v>CRSP06B</v>
      </c>
      <c r="I673" s="11" t="str">
        <f t="shared" si="416"/>
        <v>34</v>
      </c>
      <c r="J673" s="11" t="str">
        <f t="shared" si="417"/>
        <v>Creditor</v>
      </c>
      <c r="K673" s="11" t="str">
        <f t="shared" si="437"/>
        <v>CS002037</v>
      </c>
      <c r="L673" s="10" t="str">
        <f t="shared" si="438"/>
        <v>Total Gas &amp; Power</v>
      </c>
      <c r="M673" s="12" t="str">
        <f t="shared" si="439"/>
        <v>13/01/2017 00:00:00</v>
      </c>
      <c r="N673" s="12">
        <v>42748</v>
      </c>
      <c r="O673" s="10" t="str">
        <f>"C007852"</f>
        <v>C007852</v>
      </c>
      <c r="P673" s="13">
        <v>87.53</v>
      </c>
      <c r="Q673" s="11" t="str">
        <f>"87.5300"</f>
        <v>87.5300</v>
      </c>
      <c r="R673" s="10" t="str">
        <f t="shared" si="440"/>
        <v>C0004415</v>
      </c>
      <c r="S673" s="14" t="str">
        <f t="shared" si="441"/>
        <v>2821.9500</v>
      </c>
      <c r="T673" s="10">
        <v>21715</v>
      </c>
      <c r="U673" s="10">
        <v>1221</v>
      </c>
      <c r="V673" s="10" t="str">
        <f t="shared" si="442"/>
        <v>Energy Costs</v>
      </c>
      <c r="W673" s="10" t="str">
        <f t="shared" si="443"/>
        <v>Premises Related Expenditure</v>
      </c>
      <c r="X673" s="10" t="str">
        <f>VLOOKUP(U673,'[1]Account code lookup'!A:B,2,0)</f>
        <v>Gas</v>
      </c>
      <c r="Z673" s="10" t="str">
        <f t="shared" si="444"/>
        <v>Regeneration and Housing</v>
      </c>
      <c r="AA673" s="10" t="str">
        <f t="shared" si="445"/>
        <v>Commercial Development</v>
      </c>
      <c r="AB673" s="10" t="str">
        <f t="shared" si="446"/>
        <v>2cdb</v>
      </c>
      <c r="AD673" s="10" t="str">
        <f t="shared" si="447"/>
        <v>cdb02</v>
      </c>
      <c r="AE673" s="10" t="str">
        <f>"Finance &amp; Procurement / Head of Finance &amp; Procurement"</f>
        <v>Finance &amp; Procurement / Head of Finance &amp; Procurement</v>
      </c>
      <c r="AG673" s="10" t="str">
        <f>"21715/1221"</f>
        <v>21715/1221</v>
      </c>
      <c r="AI673" s="10" t="str">
        <f t="shared" si="448"/>
        <v>12prem</v>
      </c>
      <c r="AJ673" s="15" t="str">
        <f>"Gas Charges - Highfield November"</f>
        <v>Gas Charges - Highfield November</v>
      </c>
      <c r="AK673" s="10" t="str">
        <f t="shared" si="449"/>
        <v>Revenue</v>
      </c>
      <c r="AL673" s="10" t="str">
        <f>""</f>
        <v/>
      </c>
      <c r="AM673" s="10" t="str">
        <f>""</f>
        <v/>
      </c>
      <c r="AN673" s="10" t="str">
        <f>""</f>
        <v/>
      </c>
      <c r="AO673" s="10" t="str">
        <f>""</f>
        <v/>
      </c>
    </row>
    <row r="674" spans="1:41" s="10" customFormat="1" ht="409.6">
      <c r="A674" s="9"/>
      <c r="B674" s="9"/>
      <c r="C674" s="9"/>
      <c r="D674" s="10" t="str">
        <f>"34159"</f>
        <v>34159</v>
      </c>
      <c r="E674" s="11" t="str">
        <f>""</f>
        <v/>
      </c>
      <c r="F674" s="11" t="str">
        <f t="shared" si="413"/>
        <v>372418</v>
      </c>
      <c r="G674" s="11" t="str">
        <f t="shared" si="414"/>
        <v>2017toJAN</v>
      </c>
      <c r="H674" s="11" t="str">
        <f t="shared" si="415"/>
        <v>CRSP06B</v>
      </c>
      <c r="I674" s="11" t="str">
        <f t="shared" si="416"/>
        <v>34</v>
      </c>
      <c r="J674" s="11" t="str">
        <f t="shared" si="417"/>
        <v>Creditor</v>
      </c>
      <c r="K674" s="11" t="str">
        <f t="shared" si="437"/>
        <v>CS002037</v>
      </c>
      <c r="L674" s="10" t="str">
        <f t="shared" si="438"/>
        <v>Total Gas &amp; Power</v>
      </c>
      <c r="M674" s="12" t="str">
        <f t="shared" si="439"/>
        <v>13/01/2017 00:00:00</v>
      </c>
      <c r="N674" s="12">
        <v>42748</v>
      </c>
      <c r="O674" s="10" t="str">
        <f>"C007853"</f>
        <v>C007853</v>
      </c>
      <c r="P674" s="13">
        <v>58.24</v>
      </c>
      <c r="Q674" s="11" t="str">
        <f>"58.2400"</f>
        <v>58.2400</v>
      </c>
      <c r="R674" s="10" t="str">
        <f t="shared" si="440"/>
        <v>C0004415</v>
      </c>
      <c r="S674" s="14" t="str">
        <f t="shared" si="441"/>
        <v>2821.9500</v>
      </c>
      <c r="T674" s="10">
        <v>21717</v>
      </c>
      <c r="U674" s="10">
        <v>1221</v>
      </c>
      <c r="V674" s="10" t="str">
        <f t="shared" si="442"/>
        <v>Energy Costs</v>
      </c>
      <c r="W674" s="10" t="str">
        <f t="shared" si="443"/>
        <v>Premises Related Expenditure</v>
      </c>
      <c r="X674" s="10" t="str">
        <f>VLOOKUP(U674,'[1]Account code lookup'!A:B,2,0)</f>
        <v>Gas</v>
      </c>
      <c r="Z674" s="10" t="str">
        <f t="shared" si="444"/>
        <v>Regeneration and Housing</v>
      </c>
      <c r="AA674" s="10" t="str">
        <f t="shared" si="445"/>
        <v>Commercial Development</v>
      </c>
      <c r="AB674" s="10" t="str">
        <f t="shared" si="446"/>
        <v>2cdb</v>
      </c>
      <c r="AD674" s="10" t="str">
        <f t="shared" si="447"/>
        <v>cdb02</v>
      </c>
      <c r="AE674" s="10" t="str">
        <f>"Finance &amp; Procurement / Head of Finance &amp; Procurement"</f>
        <v>Finance &amp; Procurement / Head of Finance &amp; Procurement</v>
      </c>
      <c r="AG674" s="10" t="str">
        <f>"21717/1221"</f>
        <v>21717/1221</v>
      </c>
      <c r="AI674" s="10" t="str">
        <f t="shared" si="448"/>
        <v>12prem</v>
      </c>
      <c r="AJ674" s="15" t="str">
        <f>"Gas Charges - Bodicote House November"</f>
        <v>Gas Charges - Bodicote House November</v>
      </c>
      <c r="AK674" s="10" t="str">
        <f t="shared" si="449"/>
        <v>Revenue</v>
      </c>
      <c r="AL674" s="10" t="str">
        <f>""</f>
        <v/>
      </c>
      <c r="AM674" s="10" t="str">
        <f>""</f>
        <v/>
      </c>
      <c r="AN674" s="10" t="str">
        <f>""</f>
        <v/>
      </c>
      <c r="AO674" s="10" t="str">
        <f>""</f>
        <v/>
      </c>
    </row>
    <row r="675" spans="1:41" s="10" customFormat="1" ht="409.6">
      <c r="A675" s="9"/>
      <c r="B675" s="9"/>
      <c r="C675" s="9"/>
      <c r="D675" s="10" t="str">
        <f>"34160"</f>
        <v>34160</v>
      </c>
      <c r="E675" s="11" t="str">
        <f>""</f>
        <v/>
      </c>
      <c r="F675" s="11" t="str">
        <f t="shared" si="413"/>
        <v>372418</v>
      </c>
      <c r="G675" s="11" t="str">
        <f t="shared" si="414"/>
        <v>2017toJAN</v>
      </c>
      <c r="H675" s="11" t="str">
        <f t="shared" si="415"/>
        <v>CRSP06B</v>
      </c>
      <c r="I675" s="11" t="str">
        <f t="shared" si="416"/>
        <v>34</v>
      </c>
      <c r="J675" s="11" t="str">
        <f t="shared" si="417"/>
        <v>Creditor</v>
      </c>
      <c r="K675" s="11" t="str">
        <f t="shared" si="437"/>
        <v>CS002037</v>
      </c>
      <c r="L675" s="10" t="str">
        <f t="shared" si="438"/>
        <v>Total Gas &amp; Power</v>
      </c>
      <c r="M675" s="12" t="str">
        <f t="shared" si="439"/>
        <v>13/01/2017 00:00:00</v>
      </c>
      <c r="N675" s="12">
        <v>42748</v>
      </c>
      <c r="O675" s="10" t="str">
        <f>"C007854"</f>
        <v>C007854</v>
      </c>
      <c r="P675" s="13">
        <v>1424.64</v>
      </c>
      <c r="Q675" s="11" t="str">
        <f>"1424.6400"</f>
        <v>1424.6400</v>
      </c>
      <c r="R675" s="10" t="str">
        <f t="shared" si="440"/>
        <v>C0004415</v>
      </c>
      <c r="S675" s="14" t="str">
        <f t="shared" si="441"/>
        <v>2821.9500</v>
      </c>
      <c r="T675" s="10">
        <v>21717</v>
      </c>
      <c r="U675" s="10">
        <v>1221</v>
      </c>
      <c r="V675" s="10" t="str">
        <f t="shared" si="442"/>
        <v>Energy Costs</v>
      </c>
      <c r="W675" s="10" t="str">
        <f t="shared" si="443"/>
        <v>Premises Related Expenditure</v>
      </c>
      <c r="X675" s="10" t="str">
        <f>VLOOKUP(U675,'[1]Account code lookup'!A:B,2,0)</f>
        <v>Gas</v>
      </c>
      <c r="Z675" s="10" t="str">
        <f t="shared" si="444"/>
        <v>Regeneration and Housing</v>
      </c>
      <c r="AA675" s="10" t="str">
        <f t="shared" si="445"/>
        <v>Commercial Development</v>
      </c>
      <c r="AB675" s="10" t="str">
        <f t="shared" si="446"/>
        <v>2cdb</v>
      </c>
      <c r="AD675" s="10" t="str">
        <f t="shared" si="447"/>
        <v>cdb02</v>
      </c>
      <c r="AE675" s="10" t="str">
        <f>"Finance &amp; Procurement / Head of Finance &amp; Procurement"</f>
        <v>Finance &amp; Procurement / Head of Finance &amp; Procurement</v>
      </c>
      <c r="AG675" s="10" t="str">
        <f>"21717/1221"</f>
        <v>21717/1221</v>
      </c>
      <c r="AI675" s="10" t="str">
        <f t="shared" si="448"/>
        <v>12prem</v>
      </c>
      <c r="AJ675" s="15" t="str">
        <f>"Gas Charges - Bodicote House November"</f>
        <v>Gas Charges - Bodicote House November</v>
      </c>
      <c r="AK675" s="10" t="str">
        <f t="shared" si="449"/>
        <v>Revenue</v>
      </c>
      <c r="AL675" s="10" t="str">
        <f>""</f>
        <v/>
      </c>
      <c r="AM675" s="10" t="str">
        <f>""</f>
        <v/>
      </c>
      <c r="AN675" s="10" t="str">
        <f>""</f>
        <v/>
      </c>
      <c r="AO675" s="10" t="str">
        <f>""</f>
        <v/>
      </c>
    </row>
    <row r="676" spans="1:41" s="10" customFormat="1" ht="409.6">
      <c r="A676" s="9"/>
      <c r="B676" s="9"/>
      <c r="C676" s="9"/>
      <c r="D676" s="10" t="str">
        <f>"34161"</f>
        <v>34161</v>
      </c>
      <c r="E676" s="11" t="str">
        <f>""</f>
        <v/>
      </c>
      <c r="F676" s="11" t="str">
        <f t="shared" si="413"/>
        <v>372418</v>
      </c>
      <c r="G676" s="11" t="str">
        <f t="shared" si="414"/>
        <v>2017toJAN</v>
      </c>
      <c r="H676" s="11" t="str">
        <f t="shared" si="415"/>
        <v>CRSP06B</v>
      </c>
      <c r="I676" s="11" t="str">
        <f t="shared" si="416"/>
        <v>34</v>
      </c>
      <c r="J676" s="11" t="str">
        <f t="shared" si="417"/>
        <v>Creditor</v>
      </c>
      <c r="K676" s="11" t="str">
        <f t="shared" si="437"/>
        <v>CS002037</v>
      </c>
      <c r="L676" s="10" t="str">
        <f t="shared" si="438"/>
        <v>Total Gas &amp; Power</v>
      </c>
      <c r="M676" s="12" t="str">
        <f t="shared" si="439"/>
        <v>13/01/2017 00:00:00</v>
      </c>
      <c r="N676" s="12">
        <v>42748</v>
      </c>
      <c r="O676" s="10" t="str">
        <f>"C007856"</f>
        <v>C007856</v>
      </c>
      <c r="P676" s="13">
        <v>658.06</v>
      </c>
      <c r="Q676" s="11" t="str">
        <f>"658.0600"</f>
        <v>658.0600</v>
      </c>
      <c r="R676" s="10" t="str">
        <f t="shared" si="440"/>
        <v>C0004415</v>
      </c>
      <c r="S676" s="14" t="str">
        <f t="shared" si="441"/>
        <v>2821.9500</v>
      </c>
      <c r="T676" s="10">
        <v>31012</v>
      </c>
      <c r="U676" s="10">
        <v>1221</v>
      </c>
      <c r="V676" s="10" t="str">
        <f t="shared" si="442"/>
        <v>Energy Costs</v>
      </c>
      <c r="W676" s="10" t="str">
        <f t="shared" si="443"/>
        <v>Premises Related Expenditure</v>
      </c>
      <c r="X676" s="10" t="str">
        <f>VLOOKUP(U676,'[1]Account code lookup'!A:B,2,0)</f>
        <v>Gas</v>
      </c>
      <c r="Z676" s="10" t="str">
        <f t="shared" si="444"/>
        <v>Regeneration and Housing</v>
      </c>
      <c r="AA676" s="10" t="str">
        <f t="shared" si="445"/>
        <v>Commercial Development</v>
      </c>
      <c r="AB676" s="10" t="str">
        <f t="shared" si="446"/>
        <v>2cdb</v>
      </c>
      <c r="AD676" s="10" t="str">
        <f t="shared" si="447"/>
        <v>cdb02</v>
      </c>
      <c r="AE676" s="10" t="str">
        <f>"Finance &amp; Procurement / Head of Finance &amp; Procurement"</f>
        <v>Finance &amp; Procurement / Head of Finance &amp; Procurement</v>
      </c>
      <c r="AG676" s="10" t="str">
        <f>"31012/1221"</f>
        <v>31012/1221</v>
      </c>
      <c r="AI676" s="10" t="str">
        <f t="shared" si="448"/>
        <v>12prem</v>
      </c>
      <c r="AJ676" s="15" t="str">
        <f>"Gas Charges - Banbury Museum November"</f>
        <v>Gas Charges - Banbury Museum November</v>
      </c>
      <c r="AK676" s="10" t="str">
        <f t="shared" si="449"/>
        <v>Revenue</v>
      </c>
      <c r="AL676" s="10" t="str">
        <f>""</f>
        <v/>
      </c>
      <c r="AM676" s="10" t="str">
        <f>""</f>
        <v/>
      </c>
      <c r="AN676" s="10" t="str">
        <f>""</f>
        <v/>
      </c>
      <c r="AO676" s="10" t="str">
        <f>""</f>
        <v/>
      </c>
    </row>
    <row r="677" spans="1:41" s="10" customFormat="1" ht="409.6">
      <c r="A677" s="9"/>
      <c r="B677" s="9"/>
      <c r="C677" s="9"/>
      <c r="D677" s="10" t="str">
        <f>"34162"</f>
        <v>34162</v>
      </c>
      <c r="E677" s="11" t="str">
        <f>""</f>
        <v/>
      </c>
      <c r="F677" s="11" t="str">
        <f t="shared" si="413"/>
        <v>372418</v>
      </c>
      <c r="G677" s="11" t="str">
        <f t="shared" si="414"/>
        <v>2017toJAN</v>
      </c>
      <c r="H677" s="11" t="str">
        <f t="shared" si="415"/>
        <v>CRSP06B</v>
      </c>
      <c r="I677" s="11" t="str">
        <f t="shared" si="416"/>
        <v>34</v>
      </c>
      <c r="J677" s="11" t="str">
        <f t="shared" si="417"/>
        <v>Creditor</v>
      </c>
      <c r="K677" s="11" t="str">
        <f>"CS002047"</f>
        <v>CS002047</v>
      </c>
      <c r="L677" s="10" t="str">
        <f>"Trinity Protection Systems Ltd"</f>
        <v>Trinity Protection Systems Ltd</v>
      </c>
      <c r="M677" s="12" t="str">
        <f>"16/01/2017 00:00:00"</f>
        <v>16/01/2017 00:00:00</v>
      </c>
      <c r="N677" s="12">
        <v>42751</v>
      </c>
      <c r="O677" s="10" t="str">
        <f>"C007366"</f>
        <v>C007366</v>
      </c>
      <c r="P677" s="13">
        <v>450</v>
      </c>
      <c r="Q677" s="11" t="str">
        <f>"450.0000"</f>
        <v>450.0000</v>
      </c>
      <c r="R677" s="10" t="str">
        <f>"C0004447"</f>
        <v>C0004447</v>
      </c>
      <c r="S677" s="14" t="str">
        <f>"540.0000"</f>
        <v>540.0000</v>
      </c>
      <c r="T677" s="10">
        <v>21717</v>
      </c>
      <c r="U677" s="10">
        <v>1200</v>
      </c>
      <c r="V677" s="10" t="str">
        <f>"Repairs &amp; Maintenance"</f>
        <v>Repairs &amp; Maintenance</v>
      </c>
      <c r="W677" s="10" t="str">
        <f t="shared" si="443"/>
        <v>Premises Related Expenditure</v>
      </c>
      <c r="X677" s="10" t="str">
        <f>VLOOKUP(U677,'[1]Account code lookup'!A:B,2,0)</f>
        <v>Repair &amp; Maintenance</v>
      </c>
      <c r="Z677" s="10" t="str">
        <f t="shared" si="444"/>
        <v>Regeneration and Housing</v>
      </c>
      <c r="AA677" s="10" t="str">
        <f t="shared" si="445"/>
        <v>Commercial Development</v>
      </c>
      <c r="AB677" s="10" t="str">
        <f t="shared" si="446"/>
        <v>2cdb</v>
      </c>
      <c r="AD677" s="10" t="str">
        <f t="shared" si="447"/>
        <v>cdb02</v>
      </c>
      <c r="AE677" s="10" t="str">
        <f>"Finance &amp; Procurement / Finance"</f>
        <v>Finance &amp; Procurement / Finance</v>
      </c>
      <c r="AG677" s="10" t="str">
        <f>"21717/1200"</f>
        <v>21717/1200</v>
      </c>
      <c r="AI677" s="10" t="str">
        <f t="shared" si="448"/>
        <v>12prem</v>
      </c>
      <c r="AJ677" s="15" t="str">
        <f>"BODICOTE HOUSE_x000D_
_x000D_
01.04.16 – 31.12.16_x000D_
_x000D_
CHERDC001_x000D_
Bodicote House - Main Building_x000D_
Intruder Alarm_x000D_
1_x000D_
£112.50_x000D_
_x000D_
CHERDC003_x000D_
Bodicote House - IT Server Room_x000D_
Intruder Alarm_x000D_
1_x000D_
£112.50_x000D_
_x000D_
CHERDC004_x000D_
Bodicote House - Reception / Interview Area_x000D_
Panic Alarm"</f>
        <v>BODICOTE HOUSE_x000D_
_x000D_
01.04.16 – 31.12.16_x000D_
_x000D_
CHERDC001_x000D_
Bodicote House - Main Building_x000D_
Intruder Alarm_x000D_
1_x000D_
£112.50_x000D_
_x000D_
CHERDC003_x000D_
Bodicote House - IT Server Room_x000D_
Intruder Alarm_x000D_
1_x000D_
£112.50_x000D_
_x000D_
CHERDC004_x000D_
Bodicote House - Reception / Interview Area_x000D_
Panic Alarm</v>
      </c>
      <c r="AK677" s="10" t="str">
        <f t="shared" si="449"/>
        <v>Revenue</v>
      </c>
      <c r="AL677" s="10" t="str">
        <f>""</f>
        <v/>
      </c>
      <c r="AM677" s="10" t="str">
        <f>""</f>
        <v/>
      </c>
      <c r="AN677" s="10" t="str">
        <f>""</f>
        <v/>
      </c>
      <c r="AO677" s="10" t="str">
        <f>""</f>
        <v/>
      </c>
    </row>
    <row r="678" spans="1:41" s="10" customFormat="1" ht="409.6">
      <c r="A678" s="9"/>
      <c r="B678" s="9"/>
      <c r="C678" s="9"/>
      <c r="D678" s="10" t="str">
        <f>"34163"</f>
        <v>34163</v>
      </c>
      <c r="E678" s="11" t="str">
        <f>""</f>
        <v/>
      </c>
      <c r="F678" s="11" t="str">
        <f t="shared" si="413"/>
        <v>372418</v>
      </c>
      <c r="G678" s="11" t="str">
        <f t="shared" si="414"/>
        <v>2017toJAN</v>
      </c>
      <c r="H678" s="11" t="str">
        <f t="shared" si="415"/>
        <v>CRSP06B</v>
      </c>
      <c r="I678" s="11" t="str">
        <f t="shared" si="416"/>
        <v>34</v>
      </c>
      <c r="J678" s="11" t="str">
        <f t="shared" si="417"/>
        <v>Creditor</v>
      </c>
      <c r="K678" s="11" t="str">
        <f>"CS002049"</f>
        <v>CS002049</v>
      </c>
      <c r="L678" s="10" t="str">
        <f>"Trowers &amp; Hamlins"</f>
        <v>Trowers &amp; Hamlins</v>
      </c>
      <c r="M678" s="12" t="str">
        <f>"11/01/2017 00:00:00"</f>
        <v>11/01/2017 00:00:00</v>
      </c>
      <c r="N678" s="12">
        <v>42746</v>
      </c>
      <c r="O678" s="10" t="str">
        <f>"C007764"</f>
        <v>C007764</v>
      </c>
      <c r="P678" s="13">
        <v>475</v>
      </c>
      <c r="Q678" s="11" t="str">
        <f>"475.0000"</f>
        <v>475.0000</v>
      </c>
      <c r="R678" s="10" t="str">
        <f>"C0004373"</f>
        <v>C0004373</v>
      </c>
      <c r="S678" s="14" t="str">
        <f>"570.0000"</f>
        <v>570.0000</v>
      </c>
      <c r="T678" s="10">
        <v>40115</v>
      </c>
      <c r="U678" s="10">
        <v>4100</v>
      </c>
      <c r="V678" s="10" t="str">
        <f>"Capital Works"</f>
        <v>Capital Works</v>
      </c>
      <c r="W678" s="10" t="str">
        <f>"Capital Works"</f>
        <v>Capital Works</v>
      </c>
      <c r="X678" s="10" t="str">
        <f>VLOOKUP(U678,'[1]Account code lookup'!A:B,2,0)</f>
        <v>Contractors Capital Payments</v>
      </c>
      <c r="Z678" s="10" t="str">
        <f>"Capital Regen and Housing"</f>
        <v>Capital Regen and Housing</v>
      </c>
      <c r="AA678" s="10" t="str">
        <f>"Commercial Development Capital"</f>
        <v>Commercial Development Capital</v>
      </c>
      <c r="AB678" s="10" t="str">
        <f>"c2cdb"</f>
        <v>c2cdb</v>
      </c>
      <c r="AD678" s="10" t="str">
        <f>"ccdb02"</f>
        <v>ccdb02</v>
      </c>
      <c r="AE678" s="10" t="str">
        <f>"Regeneration &amp; Housing / Delivery Team"</f>
        <v>Regeneration &amp; Housing / Delivery Team</v>
      </c>
      <c r="AG678" s="10" t="str">
        <f>"40115/4100"</f>
        <v>40115/4100</v>
      </c>
      <c r="AI678" s="10" t="str">
        <f>"41cwrk"</f>
        <v>41cwrk</v>
      </c>
      <c r="AJ678" s="15" t="str">
        <f>"Drapers/Juniper: Professional services for site set-up for period to 31 May 16. Authorised by FB 22/06/16"</f>
        <v>Drapers/Juniper: Professional services for site set-up for period to 31 May 16. Authorised by FB 22/06/16</v>
      </c>
      <c r="AK678" s="10" t="str">
        <f>"Capital"</f>
        <v>Capital</v>
      </c>
      <c r="AL678" s="10" t="str">
        <f>""</f>
        <v/>
      </c>
      <c r="AM678" s="10" t="str">
        <f>""</f>
        <v/>
      </c>
      <c r="AN678" s="10" t="str">
        <f>""</f>
        <v/>
      </c>
      <c r="AO678" s="10" t="str">
        <f>""</f>
        <v/>
      </c>
    </row>
    <row r="679" spans="1:41" s="10" customFormat="1" ht="409.6">
      <c r="A679" s="9"/>
      <c r="B679" s="9"/>
      <c r="C679" s="9"/>
      <c r="D679" s="10" t="str">
        <f>"34164"</f>
        <v>34164</v>
      </c>
      <c r="E679" s="11" t="str">
        <f>""</f>
        <v/>
      </c>
      <c r="F679" s="11" t="str">
        <f t="shared" si="413"/>
        <v>372418</v>
      </c>
      <c r="G679" s="11" t="str">
        <f t="shared" si="414"/>
        <v>2017toJAN</v>
      </c>
      <c r="H679" s="11" t="str">
        <f t="shared" si="415"/>
        <v>CRSP06B</v>
      </c>
      <c r="I679" s="11" t="str">
        <f t="shared" si="416"/>
        <v>34</v>
      </c>
      <c r="J679" s="11" t="str">
        <f t="shared" si="417"/>
        <v>Creditor</v>
      </c>
      <c r="K679" s="11" t="str">
        <f>"CS002049"</f>
        <v>CS002049</v>
      </c>
      <c r="L679" s="10" t="str">
        <f>"Trowers &amp; Hamlins"</f>
        <v>Trowers &amp; Hamlins</v>
      </c>
      <c r="M679" s="12" t="str">
        <f>"23/01/2017 00:00:00"</f>
        <v>23/01/2017 00:00:00</v>
      </c>
      <c r="N679" s="12">
        <v>42758</v>
      </c>
      <c r="O679" s="10" t="str">
        <f>"C008048"</f>
        <v>C008048</v>
      </c>
      <c r="P679" s="13">
        <v>4251.45</v>
      </c>
      <c r="Q679" s="11" t="str">
        <f>"4251.4500"</f>
        <v>4251.4500</v>
      </c>
      <c r="R679" s="10" t="str">
        <f>"C0004540"</f>
        <v>C0004540</v>
      </c>
      <c r="S679" s="14" t="str">
        <f>"5101.7400"</f>
        <v>5101.7400</v>
      </c>
      <c r="T679" s="10">
        <v>21711</v>
      </c>
      <c r="U679" s="10">
        <v>1767</v>
      </c>
      <c r="V679" s="10" t="str">
        <f>"Professional Fees"</f>
        <v>Professional Fees</v>
      </c>
      <c r="W679" s="10" t="str">
        <f>"Third Party Payments"</f>
        <v>Third Party Payments</v>
      </c>
      <c r="X679" s="10" t="str">
        <f>VLOOKUP(U679,'[1]Account code lookup'!A:B,2,0)</f>
        <v>Professional Fees</v>
      </c>
      <c r="Z679" s="10" t="str">
        <f>"Business Transformation"</f>
        <v>Business Transformation</v>
      </c>
      <c r="AA679" s="10" t="str">
        <f>"Commercial Development"</f>
        <v>Commercial Development</v>
      </c>
      <c r="AB679" s="10" t="str">
        <f>"2cdb"</f>
        <v>2cdb</v>
      </c>
      <c r="AD679" s="10" t="str">
        <f>"cdb05"</f>
        <v>cdb05</v>
      </c>
      <c r="AE679" s="10" t="str">
        <f>"Finance &amp; Procurement / Head of Finance &amp; Procurement"</f>
        <v>Finance &amp; Procurement / Head of Finance &amp; Procurement</v>
      </c>
      <c r="AG679" s="10" t="str">
        <f>"21711/1767"</f>
        <v>21711/1767</v>
      </c>
      <c r="AI679" s="10" t="str">
        <f>"17tpp"</f>
        <v>17tpp</v>
      </c>
      <c r="AJ679" s="15" t="str">
        <f>"professional Services Provided for period to 30 November 2016.  Inc printing and copying charges"</f>
        <v>professional Services Provided for period to 30 November 2016.  Inc printing and copying charges</v>
      </c>
      <c r="AK679" s="10" t="str">
        <f>"Revenue"</f>
        <v>Revenue</v>
      </c>
      <c r="AL679" s="10" t="str">
        <f>""</f>
        <v/>
      </c>
      <c r="AM679" s="10" t="str">
        <f>""</f>
        <v/>
      </c>
      <c r="AN679" s="10" t="str">
        <f>""</f>
        <v/>
      </c>
      <c r="AO679" s="10" t="str">
        <f>""</f>
        <v/>
      </c>
    </row>
    <row r="680" spans="1:41" s="10" customFormat="1" ht="409.6">
      <c r="A680" s="9"/>
      <c r="B680" s="9"/>
      <c r="C680" s="9"/>
      <c r="D680" s="10" t="str">
        <f>"34165"</f>
        <v>34165</v>
      </c>
      <c r="E680" s="11" t="str">
        <f>""</f>
        <v/>
      </c>
      <c r="F680" s="11" t="str">
        <f t="shared" si="413"/>
        <v>372418</v>
      </c>
      <c r="G680" s="11" t="str">
        <f t="shared" si="414"/>
        <v>2017toJAN</v>
      </c>
      <c r="H680" s="11" t="str">
        <f t="shared" si="415"/>
        <v>CRSP06B</v>
      </c>
      <c r="I680" s="11" t="str">
        <f t="shared" si="416"/>
        <v>34</v>
      </c>
      <c r="J680" s="11" t="str">
        <f t="shared" si="417"/>
        <v>Creditor</v>
      </c>
      <c r="K680" s="11" t="str">
        <f>"CS002049"</f>
        <v>CS002049</v>
      </c>
      <c r="L680" s="10" t="str">
        <f>"Trowers &amp; Hamlins"</f>
        <v>Trowers &amp; Hamlins</v>
      </c>
      <c r="M680" s="12" t="str">
        <f>"25/01/2017 00:00:00"</f>
        <v>25/01/2017 00:00:00</v>
      </c>
      <c r="N680" s="12">
        <v>42760</v>
      </c>
      <c r="O680" s="10" t="str">
        <f>"C008082"</f>
        <v>C008082</v>
      </c>
      <c r="P680" s="13">
        <v>858</v>
      </c>
      <c r="Q680" s="11" t="str">
        <f>"858.0000"</f>
        <v>858.0000</v>
      </c>
      <c r="R680" s="10" t="str">
        <f>"C0004564"</f>
        <v>C0004564</v>
      </c>
      <c r="S680" s="14" t="str">
        <f>"2451.6000"</f>
        <v>2451.6000</v>
      </c>
      <c r="T680" s="10">
        <v>29511</v>
      </c>
      <c r="U680" s="10">
        <v>1464</v>
      </c>
      <c r="V680" s="10" t="str">
        <f>"Services"</f>
        <v>Services</v>
      </c>
      <c r="W680" s="10" t="str">
        <f>"Supplies and Services"</f>
        <v>Supplies and Services</v>
      </c>
      <c r="X680" s="10" t="str">
        <f>VLOOKUP(U680,'[1]Account code lookup'!A:B,2,0)</f>
        <v>Legal Expenses</v>
      </c>
      <c r="Z680" s="10" t="str">
        <f>"Regeneration and Housing"</f>
        <v>Regeneration and Housing</v>
      </c>
      <c r="AA680" s="10" t="str">
        <f>"Commercial Development"</f>
        <v>Commercial Development</v>
      </c>
      <c r="AB680" s="10" t="str">
        <f>"2cdb"</f>
        <v>2cdb</v>
      </c>
      <c r="AD680" s="10" t="str">
        <f>"cdb02"</f>
        <v>cdb02</v>
      </c>
      <c r="AE680" s="10" t="str">
        <f>"Finance &amp; Procurement / Head of Finance &amp; Procurement"</f>
        <v>Finance &amp; Procurement / Head of Finance &amp; Procurement</v>
      </c>
      <c r="AG680" s="10" t="str">
        <f>"29511/1464"</f>
        <v>29511/1464</v>
      </c>
      <c r="AI680" s="10" t="str">
        <f>"14suse"</f>
        <v>14suse</v>
      </c>
      <c r="AJ680" s="15" t="str">
        <f>"Legal Advice for James Doble re shareholders protocol agreement £702 ._x000D_
Legal advice for Campbell Tickell for board paper £156"</f>
        <v>Legal Advice for James Doble re shareholders protocol agreement £702 ._x000D_
Legal advice for Campbell Tickell for board paper £156</v>
      </c>
      <c r="AK680" s="10" t="str">
        <f>"Revenue"</f>
        <v>Revenue</v>
      </c>
      <c r="AL680" s="10" t="str">
        <f>""</f>
        <v/>
      </c>
      <c r="AM680" s="10" t="str">
        <f>""</f>
        <v/>
      </c>
      <c r="AN680" s="10" t="str">
        <f>""</f>
        <v/>
      </c>
      <c r="AO680" s="10" t="str">
        <f>""</f>
        <v/>
      </c>
    </row>
    <row r="681" spans="1:41" s="10" customFormat="1" ht="409.6">
      <c r="A681" s="9"/>
      <c r="B681" s="9"/>
      <c r="C681" s="9"/>
      <c r="D681" s="10" t="str">
        <f>"34166"</f>
        <v>34166</v>
      </c>
      <c r="E681" s="11" t="str">
        <f>""</f>
        <v/>
      </c>
      <c r="F681" s="11" t="str">
        <f t="shared" si="413"/>
        <v>372418</v>
      </c>
      <c r="G681" s="11" t="str">
        <f t="shared" si="414"/>
        <v>2017toJAN</v>
      </c>
      <c r="H681" s="11" t="str">
        <f t="shared" si="415"/>
        <v>CRSP06B</v>
      </c>
      <c r="I681" s="11" t="str">
        <f t="shared" si="416"/>
        <v>34</v>
      </c>
      <c r="J681" s="11" t="str">
        <f t="shared" si="417"/>
        <v>Creditor</v>
      </c>
      <c r="K681" s="11" t="str">
        <f>"CS002049"</f>
        <v>CS002049</v>
      </c>
      <c r="L681" s="10" t="str">
        <f>"Trowers &amp; Hamlins"</f>
        <v>Trowers &amp; Hamlins</v>
      </c>
      <c r="M681" s="12" t="str">
        <f>"25/01/2017 00:00:00"</f>
        <v>25/01/2017 00:00:00</v>
      </c>
      <c r="N681" s="12">
        <v>42760</v>
      </c>
      <c r="O681" s="10" t="str">
        <f>"C008081"</f>
        <v>C008081</v>
      </c>
      <c r="P681" s="13">
        <v>1185</v>
      </c>
      <c r="Q681" s="11" t="str">
        <f>"1185.0000"</f>
        <v>1185.0000</v>
      </c>
      <c r="R681" s="10" t="str">
        <f>"C0004564"</f>
        <v>C0004564</v>
      </c>
      <c r="S681" s="14" t="str">
        <f>"2451.6000"</f>
        <v>2451.6000</v>
      </c>
      <c r="T681" s="10">
        <v>29511</v>
      </c>
      <c r="U681" s="10">
        <v>1464</v>
      </c>
      <c r="V681" s="10" t="str">
        <f>"Services"</f>
        <v>Services</v>
      </c>
      <c r="W681" s="10" t="str">
        <f>"Supplies and Services"</f>
        <v>Supplies and Services</v>
      </c>
      <c r="X681" s="10" t="str">
        <f>VLOOKUP(U681,'[1]Account code lookup'!A:B,2,0)</f>
        <v>Legal Expenses</v>
      </c>
      <c r="Z681" s="10" t="str">
        <f>"Regeneration and Housing"</f>
        <v>Regeneration and Housing</v>
      </c>
      <c r="AA681" s="10" t="str">
        <f>"Commercial Development"</f>
        <v>Commercial Development</v>
      </c>
      <c r="AB681" s="10" t="str">
        <f>"2cdb"</f>
        <v>2cdb</v>
      </c>
      <c r="AD681" s="10" t="str">
        <f>"cdb02"</f>
        <v>cdb02</v>
      </c>
      <c r="AE681" s="10" t="str">
        <f>"Finance &amp; Procurement / Head of Finance &amp; Procurement"</f>
        <v>Finance &amp; Procurement / Head of Finance &amp; Procurement</v>
      </c>
      <c r="AG681" s="10" t="str">
        <f>"29511/1464"</f>
        <v>29511/1464</v>
      </c>
      <c r="AI681" s="10" t="str">
        <f>"14suse"</f>
        <v>14suse</v>
      </c>
      <c r="AJ681" s="15" t="str">
        <f>"Legal advice to James Doble re vires and, FCA and funding £ 873.re LHC_x000D_
Legal advice to Kate Lister and Jane Norman £312 re LHC and HCA registration"</f>
        <v>Legal advice to James Doble re vires and, FCA and funding £ 873.re LHC_x000D_
Legal advice to Kate Lister and Jane Norman £312 re LHC and HCA registration</v>
      </c>
      <c r="AK681" s="10" t="str">
        <f>"Revenue"</f>
        <v>Revenue</v>
      </c>
      <c r="AL681" s="10" t="str">
        <f>""</f>
        <v/>
      </c>
      <c r="AM681" s="10" t="str">
        <f>""</f>
        <v/>
      </c>
      <c r="AN681" s="10" t="str">
        <f>""</f>
        <v/>
      </c>
      <c r="AO681" s="10" t="str">
        <f>""</f>
        <v/>
      </c>
    </row>
    <row r="682" spans="1:41" s="10" customFormat="1" ht="409.6">
      <c r="A682" s="9"/>
      <c r="B682" s="9"/>
      <c r="C682" s="9"/>
      <c r="D682" s="10" t="str">
        <f>"34168"</f>
        <v>34168</v>
      </c>
      <c r="E682" s="11" t="str">
        <f>""</f>
        <v/>
      </c>
      <c r="F682" s="11" t="str">
        <f t="shared" si="413"/>
        <v>372418</v>
      </c>
      <c r="G682" s="11" t="str">
        <f t="shared" si="414"/>
        <v>2017toJAN</v>
      </c>
      <c r="H682" s="11" t="str">
        <f t="shared" si="415"/>
        <v>CRSP06B</v>
      </c>
      <c r="I682" s="11" t="str">
        <f t="shared" si="416"/>
        <v>34</v>
      </c>
      <c r="J682" s="11" t="str">
        <f t="shared" si="417"/>
        <v>Creditor</v>
      </c>
      <c r="K682" s="11" t="str">
        <f>"CS002056"</f>
        <v>CS002056</v>
      </c>
      <c r="L682" s="10" t="str">
        <f>"Turner &amp; Townsend"</f>
        <v>Turner &amp; Townsend</v>
      </c>
      <c r="M682" s="12" t="str">
        <f>"06/01/2017 00:00:00"</f>
        <v>06/01/2017 00:00:00</v>
      </c>
      <c r="N682" s="12">
        <v>42741</v>
      </c>
      <c r="O682" s="10" t="str">
        <f>"C006951"</f>
        <v>C006951</v>
      </c>
      <c r="P682" s="13">
        <v>4665</v>
      </c>
      <c r="Q682" s="11" t="str">
        <f>"4665.0000"</f>
        <v>4665.0000</v>
      </c>
      <c r="R682" s="10" t="str">
        <f>"C0004310"</f>
        <v>C0004310</v>
      </c>
      <c r="S682" s="14" t="str">
        <f>"5598.0000"</f>
        <v>5598.0000</v>
      </c>
      <c r="T682" s="10">
        <v>40005</v>
      </c>
      <c r="U682" s="10">
        <v>4310</v>
      </c>
      <c r="V682" s="10" t="str">
        <f>"Other Fees (Capital)"</f>
        <v>Other Fees (Capital)</v>
      </c>
      <c r="W682" s="10" t="str">
        <f>"Professional Fees"</f>
        <v>Professional Fees</v>
      </c>
      <c r="X682" s="10" t="str">
        <f>VLOOKUP(U682,'[1]Account code lookup'!A:B,2,0)</f>
        <v>Other Prof.Fees (Capital)</v>
      </c>
      <c r="Z682" s="10" t="str">
        <f>"Capital Community Services"</f>
        <v>Capital Community Services</v>
      </c>
      <c r="AA682" s="10" t="str">
        <f>"Operations and Delivery Cap"</f>
        <v>Operations and Delivery Cap</v>
      </c>
      <c r="AB682" s="10" t="str">
        <f>"c5oad"</f>
        <v>c5oad</v>
      </c>
      <c r="AD682" s="10" t="str">
        <f>"coad01"</f>
        <v>coad01</v>
      </c>
      <c r="AE682" s="10" t="str">
        <f>"Community Services / Facilities Management"</f>
        <v>Community Services / Facilities Management</v>
      </c>
      <c r="AG682" s="10" t="str">
        <f>"40005/4310"</f>
        <v>40005/4310</v>
      </c>
      <c r="AI682" s="10" t="str">
        <f>"43pfee"</f>
        <v>43pfee</v>
      </c>
      <c r="AJ682" s="15" t="str">
        <f>"Professional Fees Bicester Sports Pavilion"</f>
        <v>Professional Fees Bicester Sports Pavilion</v>
      </c>
      <c r="AK682" s="10" t="str">
        <f>"Capital"</f>
        <v>Capital</v>
      </c>
      <c r="AL682" s="10" t="str">
        <f>""</f>
        <v/>
      </c>
      <c r="AM682" s="10" t="str">
        <f>""</f>
        <v/>
      </c>
      <c r="AN682" s="10" t="str">
        <f>""</f>
        <v/>
      </c>
      <c r="AO682" s="10" t="str">
        <f>""</f>
        <v/>
      </c>
    </row>
    <row r="683" spans="1:41" s="10" customFormat="1" ht="409.6">
      <c r="A683" s="9"/>
      <c r="B683" s="9"/>
      <c r="C683" s="9"/>
      <c r="D683" s="10" t="str">
        <f>"34169"</f>
        <v>34169</v>
      </c>
      <c r="E683" s="11" t="str">
        <f>""</f>
        <v/>
      </c>
      <c r="F683" s="11" t="str">
        <f t="shared" si="413"/>
        <v>372418</v>
      </c>
      <c r="G683" s="11" t="str">
        <f t="shared" si="414"/>
        <v>2017toJAN</v>
      </c>
      <c r="H683" s="11" t="str">
        <f t="shared" si="415"/>
        <v>CRSP06B</v>
      </c>
      <c r="I683" s="11" t="str">
        <f t="shared" si="416"/>
        <v>34</v>
      </c>
      <c r="J683" s="11" t="str">
        <f t="shared" si="417"/>
        <v>Creditor</v>
      </c>
      <c r="K683" s="11" t="str">
        <f>"CS002056"</f>
        <v>CS002056</v>
      </c>
      <c r="L683" s="10" t="str">
        <f>"Turner &amp; Townsend"</f>
        <v>Turner &amp; Townsend</v>
      </c>
      <c r="M683" s="12" t="str">
        <f>"16/01/2017 00:00:00"</f>
        <v>16/01/2017 00:00:00</v>
      </c>
      <c r="N683" s="12">
        <v>42751</v>
      </c>
      <c r="O683" s="10" t="str">
        <f>"C007519"</f>
        <v>C007519</v>
      </c>
      <c r="P683" s="13">
        <v>5365</v>
      </c>
      <c r="Q683" s="11" t="str">
        <f>"5365.0000"</f>
        <v>5365.0000</v>
      </c>
      <c r="R683" s="10" t="str">
        <f>"C0004448"</f>
        <v>C0004448</v>
      </c>
      <c r="S683" s="14" t="str">
        <f>"6438.0000"</f>
        <v>6438.0000</v>
      </c>
      <c r="T683" s="10">
        <v>40005</v>
      </c>
      <c r="U683" s="10">
        <v>4310</v>
      </c>
      <c r="V683" s="10" t="str">
        <f>"Other Fees (Capital)"</f>
        <v>Other Fees (Capital)</v>
      </c>
      <c r="W683" s="10" t="str">
        <f>"Professional Fees"</f>
        <v>Professional Fees</v>
      </c>
      <c r="X683" s="10" t="str">
        <f>VLOOKUP(U683,'[1]Account code lookup'!A:B,2,0)</f>
        <v>Other Prof.Fees (Capital)</v>
      </c>
      <c r="Z683" s="10" t="str">
        <f>"Capital Community Services"</f>
        <v>Capital Community Services</v>
      </c>
      <c r="AA683" s="10" t="str">
        <f>"Operations and Delivery Cap"</f>
        <v>Operations and Delivery Cap</v>
      </c>
      <c r="AB683" s="10" t="str">
        <f>"c5oad"</f>
        <v>c5oad</v>
      </c>
      <c r="AD683" s="10" t="str">
        <f>"coad01"</f>
        <v>coad01</v>
      </c>
      <c r="AE683" s="10" t="str">
        <f>"Community Services / Recreation &amp; Sports"</f>
        <v>Community Services / Recreation &amp; Sports</v>
      </c>
      <c r="AG683" s="10" t="str">
        <f>"40005/4310"</f>
        <v>40005/4310</v>
      </c>
      <c r="AI683" s="10" t="str">
        <f>"43pfee"</f>
        <v>43pfee</v>
      </c>
      <c r="AJ683" s="15" t="str">
        <f>"Profession Fees"</f>
        <v>Profession Fees</v>
      </c>
      <c r="AK683" s="10" t="str">
        <f>"Capital"</f>
        <v>Capital</v>
      </c>
      <c r="AL683" s="10" t="str">
        <f>""</f>
        <v/>
      </c>
      <c r="AM683" s="10" t="str">
        <f>""</f>
        <v/>
      </c>
      <c r="AN683" s="10" t="str">
        <f>""</f>
        <v/>
      </c>
      <c r="AO683" s="10" t="str">
        <f>""</f>
        <v/>
      </c>
    </row>
    <row r="684" spans="1:41" s="10" customFormat="1" ht="409.6">
      <c r="A684" s="9"/>
      <c r="B684" s="9"/>
      <c r="C684" s="9"/>
      <c r="D684" s="10" t="str">
        <f>"34173"</f>
        <v>34173</v>
      </c>
      <c r="E684" s="11" t="str">
        <f>""</f>
        <v/>
      </c>
      <c r="F684" s="11" t="str">
        <f t="shared" si="413"/>
        <v>372418</v>
      </c>
      <c r="G684" s="11" t="str">
        <f t="shared" si="414"/>
        <v>2017toJAN</v>
      </c>
      <c r="H684" s="11" t="str">
        <f t="shared" si="415"/>
        <v>CRSP06B</v>
      </c>
      <c r="I684" s="11" t="str">
        <f t="shared" si="416"/>
        <v>34</v>
      </c>
      <c r="J684" s="11" t="str">
        <f t="shared" si="417"/>
        <v>Creditor</v>
      </c>
      <c r="K684" s="11" t="str">
        <f>"CS002316"</f>
        <v>CS002316</v>
      </c>
      <c r="L684" s="10" t="str">
        <f>"Veale Wasbrough Vizards"</f>
        <v>Veale Wasbrough Vizards</v>
      </c>
      <c r="M684" s="12" t="str">
        <f>"19/01/2017 00:00:00"</f>
        <v>19/01/2017 00:00:00</v>
      </c>
      <c r="N684" s="12">
        <v>42754</v>
      </c>
      <c r="O684" s="10" t="str">
        <f>"C007915"</f>
        <v>C007915</v>
      </c>
      <c r="P684" s="13">
        <v>1740</v>
      </c>
      <c r="Q684" s="11" t="str">
        <f>"1740.0000"</f>
        <v>1740.0000</v>
      </c>
      <c r="R684" s="10" t="str">
        <f>"059246"</f>
        <v>059246</v>
      </c>
      <c r="S684" s="14" t="str">
        <f>"3393.0000"</f>
        <v>3393.0000</v>
      </c>
      <c r="T684" s="10">
        <v>31013</v>
      </c>
      <c r="U684" s="10">
        <v>1765</v>
      </c>
      <c r="V684" s="10" t="str">
        <f>"Professional Fees"</f>
        <v>Professional Fees</v>
      </c>
      <c r="W684" s="10" t="str">
        <f>"Third Party Payments"</f>
        <v>Third Party Payments</v>
      </c>
      <c r="X684" s="10" t="str">
        <f>VLOOKUP(U684,'[1]Account code lookup'!A:B,2,0)</f>
        <v>Consultants Fees</v>
      </c>
      <c r="Z684" s="10" t="str">
        <f>"Regeneration and Housing"</f>
        <v>Regeneration and Housing</v>
      </c>
      <c r="AA684" s="10" t="str">
        <f>"Commercial Development"</f>
        <v>Commercial Development</v>
      </c>
      <c r="AB684" s="10" t="str">
        <f>"2cdb"</f>
        <v>2cdb</v>
      </c>
      <c r="AD684" s="10" t="str">
        <f>"cdb02"</f>
        <v>cdb02</v>
      </c>
      <c r="AE684" s="10" t="str">
        <f>"Finance &amp; Procurement / Finance"</f>
        <v>Finance &amp; Procurement / Finance</v>
      </c>
      <c r="AG684" s="10" t="str">
        <f>"31013/1765"</f>
        <v>31013/1765</v>
      </c>
      <c r="AI684" s="10" t="str">
        <f>"17tpp"</f>
        <v>17tpp</v>
      </c>
      <c r="AJ684" s="15" t="str">
        <f>"BICESTER PIONEER SQ - DEFECTS_x000D_
_x000D_
Dispute with Town council retail (Bicester) Ltd_x000D_
_x000D_
File no 2CT99/00004_x000D_
_x000D_
19 Aug - 20 Sept 2016_x000D_
_x000D_
Blue Texel tenant issue"</f>
        <v>BICESTER PIONEER SQ - DEFECTS_x000D_
_x000D_
Dispute with Town council retail (Bicester) Ltd_x000D_
_x000D_
File no 2CT99/00004_x000D_
_x000D_
19 Aug - 20 Sept 2016_x000D_
_x000D_
Blue Texel tenant issue</v>
      </c>
      <c r="AK684" s="10" t="str">
        <f>"Revenue"</f>
        <v>Revenue</v>
      </c>
      <c r="AL684" s="10" t="str">
        <f>""</f>
        <v/>
      </c>
      <c r="AM684" s="10" t="str">
        <f>""</f>
        <v/>
      </c>
      <c r="AN684" s="10" t="str">
        <f>""</f>
        <v/>
      </c>
      <c r="AO684" s="10" t="str">
        <f>""</f>
        <v/>
      </c>
    </row>
    <row r="685" spans="1:41" s="10" customFormat="1" ht="409.6">
      <c r="A685" s="9"/>
      <c r="B685" s="9"/>
      <c r="C685" s="9"/>
      <c r="D685" s="10" t="str">
        <f>"34174"</f>
        <v>34174</v>
      </c>
      <c r="E685" s="11" t="str">
        <f>""</f>
        <v/>
      </c>
      <c r="F685" s="11" t="str">
        <f t="shared" si="413"/>
        <v>372418</v>
      </c>
      <c r="G685" s="11" t="str">
        <f t="shared" si="414"/>
        <v>2017toJAN</v>
      </c>
      <c r="H685" s="11" t="str">
        <f t="shared" si="415"/>
        <v>CRSP06B</v>
      </c>
      <c r="I685" s="11" t="str">
        <f t="shared" si="416"/>
        <v>34</v>
      </c>
      <c r="J685" s="11" t="str">
        <f t="shared" si="417"/>
        <v>Creditor</v>
      </c>
      <c r="K685" s="11" t="str">
        <f>"CS002316"</f>
        <v>CS002316</v>
      </c>
      <c r="L685" s="10" t="str">
        <f>"Veale Wasbrough Vizards"</f>
        <v>Veale Wasbrough Vizards</v>
      </c>
      <c r="M685" s="12" t="str">
        <f>"19/01/2017 00:00:00"</f>
        <v>19/01/2017 00:00:00</v>
      </c>
      <c r="N685" s="12">
        <v>42754</v>
      </c>
      <c r="O685" s="10" t="str">
        <f>"C007915"</f>
        <v>C007915</v>
      </c>
      <c r="P685" s="13">
        <v>1087.5</v>
      </c>
      <c r="Q685" s="11" t="str">
        <f>"1087.5000"</f>
        <v>1087.5000</v>
      </c>
      <c r="R685" s="10" t="str">
        <f>"059246"</f>
        <v>059246</v>
      </c>
      <c r="S685" s="14" t="str">
        <f>"3393.0000"</f>
        <v>3393.0000</v>
      </c>
      <c r="T685" s="10">
        <v>40081</v>
      </c>
      <c r="U685" s="10">
        <v>4100</v>
      </c>
      <c r="V685" s="10" t="str">
        <f>"Capital Works"</f>
        <v>Capital Works</v>
      </c>
      <c r="W685" s="10" t="str">
        <f>"Capital Works"</f>
        <v>Capital Works</v>
      </c>
      <c r="X685" s="10" t="str">
        <f>VLOOKUP(U685,'[1]Account code lookup'!A:B,2,0)</f>
        <v>Contractors Capital Payments</v>
      </c>
      <c r="Z685" s="10" t="str">
        <f>"Capital Regen and Housing"</f>
        <v>Capital Regen and Housing</v>
      </c>
      <c r="AA685" s="10" t="str">
        <f>"Commercial Development Capital"</f>
        <v>Commercial Development Capital</v>
      </c>
      <c r="AB685" s="10" t="str">
        <f>"c2cdb"</f>
        <v>c2cdb</v>
      </c>
      <c r="AD685" s="10" t="str">
        <f>"ccdb02"</f>
        <v>ccdb02</v>
      </c>
      <c r="AE685" s="10" t="str">
        <f>"Finance &amp; Procurement / Finance"</f>
        <v>Finance &amp; Procurement / Finance</v>
      </c>
      <c r="AG685" s="10" t="str">
        <f>"40081/4100"</f>
        <v>40081/4100</v>
      </c>
      <c r="AI685" s="10" t="str">
        <f>"41cwrk"</f>
        <v>41cwrk</v>
      </c>
      <c r="AJ685" s="15" t="str">
        <f>"BICESTER PIONEER SQ - DEFECTS_x000D_
_x000D_
Dispute with Town council retail (Bicester) Ltd_x000D_
_x000D_
File no 2CT99/00004_x000D_
_x000D_
19 Aug - 20 Sept 2016_x000D_
_x000D_
correspondence in relation to construction advice"</f>
        <v>BICESTER PIONEER SQ - DEFECTS_x000D_
_x000D_
Dispute with Town council retail (Bicester) Ltd_x000D_
_x000D_
File no 2CT99/00004_x000D_
_x000D_
19 Aug - 20 Sept 2016_x000D_
_x000D_
correspondence in relation to construction advice</v>
      </c>
      <c r="AK685" s="10" t="str">
        <f>"Capital"</f>
        <v>Capital</v>
      </c>
      <c r="AL685" s="10" t="str">
        <f>""</f>
        <v/>
      </c>
      <c r="AM685" s="10" t="str">
        <f>""</f>
        <v/>
      </c>
      <c r="AN685" s="10" t="str">
        <f>""</f>
        <v/>
      </c>
      <c r="AO685" s="10" t="str">
        <f>""</f>
        <v/>
      </c>
    </row>
    <row r="686" spans="1:41" s="10" customFormat="1" ht="409.6">
      <c r="A686" s="9"/>
      <c r="B686" s="9"/>
      <c r="C686" s="9"/>
      <c r="D686" s="10" t="str">
        <f>"34175"</f>
        <v>34175</v>
      </c>
      <c r="E686" s="11" t="str">
        <f>""</f>
        <v/>
      </c>
      <c r="F686" s="11" t="str">
        <f t="shared" si="413"/>
        <v>372418</v>
      </c>
      <c r="G686" s="11" t="str">
        <f t="shared" si="414"/>
        <v>2017toJAN</v>
      </c>
      <c r="H686" s="11" t="str">
        <f t="shared" si="415"/>
        <v>CRSP06B</v>
      </c>
      <c r="I686" s="11" t="str">
        <f t="shared" si="416"/>
        <v>34</v>
      </c>
      <c r="J686" s="11" t="str">
        <f t="shared" si="417"/>
        <v>Creditor</v>
      </c>
      <c r="K686" s="11" t="str">
        <f>"CS002146"</f>
        <v>CS002146</v>
      </c>
      <c r="L686" s="10" t="str">
        <f>"Vehicle Weighing Solutions"</f>
        <v>Vehicle Weighing Solutions</v>
      </c>
      <c r="M686" s="12" t="str">
        <f>"20/01/2017 00:00:00"</f>
        <v>20/01/2017 00:00:00</v>
      </c>
      <c r="N686" s="12">
        <v>42755</v>
      </c>
      <c r="O686" s="10" t="str">
        <f>"C007800"</f>
        <v>C007800</v>
      </c>
      <c r="P686" s="13">
        <v>772</v>
      </c>
      <c r="Q686" s="11" t="str">
        <f>"772.0000"</f>
        <v>772.0000</v>
      </c>
      <c r="R686" s="10" t="str">
        <f>"C0004510"</f>
        <v>C0004510</v>
      </c>
      <c r="S686" s="14" t="str">
        <f>"926.4000"</f>
        <v>926.4000</v>
      </c>
      <c r="T686" s="10">
        <v>21706</v>
      </c>
      <c r="U686" s="10">
        <v>1300</v>
      </c>
      <c r="V686" s="10" t="str">
        <f>"Direct transport costs"</f>
        <v>Direct transport costs</v>
      </c>
      <c r="W686" s="10" t="str">
        <f>"Transport Related Expenditure"</f>
        <v>Transport Related Expenditure</v>
      </c>
      <c r="X686" s="10" t="str">
        <f>VLOOKUP(U686,'[1]Account code lookup'!A:B,2,0)</f>
        <v>Vehicle Repair &amp; Maintenance</v>
      </c>
      <c r="Z686" s="10" t="str">
        <f>"Environmental Services"</f>
        <v>Environmental Services</v>
      </c>
      <c r="AA686" s="10" t="str">
        <f>"Operations and Delivery"</f>
        <v>Operations and Delivery</v>
      </c>
      <c r="AB686" s="10" t="str">
        <f>"5oad"</f>
        <v>5oad</v>
      </c>
      <c r="AD686" s="10" t="str">
        <f>"oad02"</f>
        <v>oad02</v>
      </c>
      <c r="AE686" s="10" t="str">
        <f>"Environmental Services / Vehicle Maintenance &amp; MOT`s"</f>
        <v>Environmental Services / Vehicle Maintenance &amp; MOT`s</v>
      </c>
      <c r="AG686" s="10" t="str">
        <f>"21706/1300"</f>
        <v>21706/1300</v>
      </c>
      <c r="AI686" s="10" t="str">
        <f>"13trans"</f>
        <v>13trans</v>
      </c>
      <c r="AJ686" s="15" t="str">
        <f>""</f>
        <v/>
      </c>
      <c r="AK686" s="10" t="str">
        <f t="shared" ref="AK686:AK696" si="450">"Revenue"</f>
        <v>Revenue</v>
      </c>
      <c r="AL686" s="10" t="str">
        <f>""</f>
        <v/>
      </c>
      <c r="AM686" s="10" t="str">
        <f>""</f>
        <v/>
      </c>
      <c r="AN686" s="10" t="str">
        <f>""</f>
        <v/>
      </c>
      <c r="AO686" s="10" t="str">
        <f>""</f>
        <v/>
      </c>
    </row>
    <row r="687" spans="1:41" s="10" customFormat="1" ht="409.6">
      <c r="A687" s="9"/>
      <c r="B687" s="9"/>
      <c r="C687" s="9"/>
      <c r="D687" s="10" t="str">
        <f>"34176"</f>
        <v>34176</v>
      </c>
      <c r="E687" s="11" t="str">
        <f>""</f>
        <v/>
      </c>
      <c r="F687" s="11" t="str">
        <f t="shared" si="413"/>
        <v>372418</v>
      </c>
      <c r="G687" s="11" t="str">
        <f t="shared" si="414"/>
        <v>2017toJAN</v>
      </c>
      <c r="H687" s="11" t="str">
        <f t="shared" si="415"/>
        <v>CRSP06B</v>
      </c>
      <c r="I687" s="11" t="str">
        <f t="shared" si="416"/>
        <v>34</v>
      </c>
      <c r="J687" s="11" t="str">
        <f t="shared" si="417"/>
        <v>Creditor</v>
      </c>
      <c r="K687" s="11" t="str">
        <f t="shared" ref="K687:K692" si="451">"CS002604"</f>
        <v>CS002604</v>
      </c>
      <c r="L687" s="10" t="str">
        <f t="shared" ref="L687:L692" si="452">"Venn Group Limited"</f>
        <v>Venn Group Limited</v>
      </c>
      <c r="M687" s="12" t="str">
        <f>"11/01/2017 00:00:00"</f>
        <v>11/01/2017 00:00:00</v>
      </c>
      <c r="N687" s="12">
        <v>42746</v>
      </c>
      <c r="O687" s="10" t="str">
        <f>"C007765"</f>
        <v>C007765</v>
      </c>
      <c r="P687" s="13">
        <v>887.5</v>
      </c>
      <c r="Q687" s="11" t="str">
        <f>"887.5000"</f>
        <v>887.5000</v>
      </c>
      <c r="R687" s="10" t="str">
        <f>"C0004380"</f>
        <v>C0004380</v>
      </c>
      <c r="S687" s="14" t="str">
        <f>"3832.5000"</f>
        <v>3832.5000</v>
      </c>
      <c r="T687" s="10">
        <v>28730</v>
      </c>
      <c r="U687" s="10">
        <v>1136</v>
      </c>
      <c r="V687" s="10" t="str">
        <f t="shared" ref="V687:V692" si="453">"Direct employee exps and bens"</f>
        <v>Direct employee exps and bens</v>
      </c>
      <c r="W687" s="10" t="str">
        <f t="shared" ref="W687:W693" si="454">"Employees"</f>
        <v>Employees</v>
      </c>
      <c r="X687" s="10" t="str">
        <f>VLOOKUP(U687,'[1]Account code lookup'!A:B,2,0)</f>
        <v>Agency Staff</v>
      </c>
      <c r="Z687" s="10" t="str">
        <f t="shared" ref="Z687:Z692" si="455">"Finance and Procurement"</f>
        <v>Finance and Procurement</v>
      </c>
      <c r="AA687" s="10" t="str">
        <f t="shared" ref="AA687:AA692" si="456">"Chief Finance Officer"</f>
        <v>Chief Finance Officer</v>
      </c>
      <c r="AB687" s="10" t="str">
        <f t="shared" ref="AB687:AB692" si="457">"3cfo"</f>
        <v>3cfo</v>
      </c>
      <c r="AD687" s="10" t="str">
        <f t="shared" ref="AD687:AD692" si="458">"cfo02"</f>
        <v>cfo02</v>
      </c>
      <c r="AE687" s="10" t="str">
        <f t="shared" ref="AE687:AE692" si="459">"Finance &amp; Procurement / Benefits"</f>
        <v>Finance &amp; Procurement / Benefits</v>
      </c>
      <c r="AG687" s="10" t="str">
        <f t="shared" ref="AG687:AG692" si="460">"28730/1136"</f>
        <v>28730/1136</v>
      </c>
      <c r="AI687" s="10" t="str">
        <f t="shared" ref="AI687:AI693" si="461">"11emps"</f>
        <v>11emps</v>
      </c>
      <c r="AJ687" s="15" t="str">
        <f t="shared" ref="AJ687:AJ692" si="462">"Gary Mattiello"</f>
        <v>Gary Mattiello</v>
      </c>
      <c r="AK687" s="10" t="str">
        <f t="shared" si="450"/>
        <v>Revenue</v>
      </c>
      <c r="AL687" s="10" t="str">
        <f>""</f>
        <v/>
      </c>
      <c r="AM687" s="10" t="str">
        <f>""</f>
        <v/>
      </c>
      <c r="AN687" s="10" t="str">
        <f>""</f>
        <v/>
      </c>
      <c r="AO687" s="10" t="str">
        <f>""</f>
        <v/>
      </c>
    </row>
    <row r="688" spans="1:41" s="10" customFormat="1" ht="409.6">
      <c r="A688" s="9"/>
      <c r="B688" s="9"/>
      <c r="C688" s="9"/>
      <c r="D688" s="10" t="str">
        <f>"34177"</f>
        <v>34177</v>
      </c>
      <c r="E688" s="11" t="str">
        <f>""</f>
        <v/>
      </c>
      <c r="F688" s="11" t="str">
        <f t="shared" si="413"/>
        <v>372418</v>
      </c>
      <c r="G688" s="11" t="str">
        <f t="shared" si="414"/>
        <v>2017toJAN</v>
      </c>
      <c r="H688" s="11" t="str">
        <f t="shared" si="415"/>
        <v>CRSP06B</v>
      </c>
      <c r="I688" s="11" t="str">
        <f t="shared" si="416"/>
        <v>34</v>
      </c>
      <c r="J688" s="11" t="str">
        <f t="shared" si="417"/>
        <v>Creditor</v>
      </c>
      <c r="K688" s="11" t="str">
        <f t="shared" si="451"/>
        <v>CS002604</v>
      </c>
      <c r="L688" s="10" t="str">
        <f t="shared" si="452"/>
        <v>Venn Group Limited</v>
      </c>
      <c r="M688" s="12" t="str">
        <f>"11/01/2017 00:00:00"</f>
        <v>11/01/2017 00:00:00</v>
      </c>
      <c r="N688" s="12">
        <v>42746</v>
      </c>
      <c r="O688" s="10" t="str">
        <f>"C007766"</f>
        <v>C007766</v>
      </c>
      <c r="P688" s="13">
        <v>975</v>
      </c>
      <c r="Q688" s="11" t="str">
        <f>"975.0000"</f>
        <v>975.0000</v>
      </c>
      <c r="R688" s="10" t="str">
        <f>"C0004380"</f>
        <v>C0004380</v>
      </c>
      <c r="S688" s="14" t="str">
        <f>"3832.5000"</f>
        <v>3832.5000</v>
      </c>
      <c r="T688" s="10">
        <v>28730</v>
      </c>
      <c r="U688" s="10">
        <v>1136</v>
      </c>
      <c r="V688" s="10" t="str">
        <f t="shared" si="453"/>
        <v>Direct employee exps and bens</v>
      </c>
      <c r="W688" s="10" t="str">
        <f t="shared" si="454"/>
        <v>Employees</v>
      </c>
      <c r="X688" s="10" t="str">
        <f>VLOOKUP(U688,'[1]Account code lookup'!A:B,2,0)</f>
        <v>Agency Staff</v>
      </c>
      <c r="Z688" s="10" t="str">
        <f t="shared" si="455"/>
        <v>Finance and Procurement</v>
      </c>
      <c r="AA688" s="10" t="str">
        <f t="shared" si="456"/>
        <v>Chief Finance Officer</v>
      </c>
      <c r="AB688" s="10" t="str">
        <f t="shared" si="457"/>
        <v>3cfo</v>
      </c>
      <c r="AD688" s="10" t="str">
        <f t="shared" si="458"/>
        <v>cfo02</v>
      </c>
      <c r="AE688" s="10" t="str">
        <f t="shared" si="459"/>
        <v>Finance &amp; Procurement / Benefits</v>
      </c>
      <c r="AG688" s="10" t="str">
        <f t="shared" si="460"/>
        <v>28730/1136</v>
      </c>
      <c r="AI688" s="10" t="str">
        <f t="shared" si="461"/>
        <v>11emps</v>
      </c>
      <c r="AJ688" s="15" t="str">
        <f t="shared" si="462"/>
        <v>Gary Mattiello</v>
      </c>
      <c r="AK688" s="10" t="str">
        <f t="shared" si="450"/>
        <v>Revenue</v>
      </c>
      <c r="AL688" s="10" t="str">
        <f>""</f>
        <v/>
      </c>
      <c r="AM688" s="10" t="str">
        <f>""</f>
        <v/>
      </c>
      <c r="AN688" s="10" t="str">
        <f>""</f>
        <v/>
      </c>
      <c r="AO688" s="10" t="str">
        <f>""</f>
        <v/>
      </c>
    </row>
    <row r="689" spans="1:41" s="10" customFormat="1" ht="409.6">
      <c r="A689" s="9"/>
      <c r="B689" s="9"/>
      <c r="C689" s="9"/>
      <c r="D689" s="10" t="str">
        <f>"34503"</f>
        <v>34503</v>
      </c>
      <c r="E689" s="11" t="str">
        <f>""</f>
        <v/>
      </c>
      <c r="F689" s="11" t="str">
        <f t="shared" si="413"/>
        <v>372418</v>
      </c>
      <c r="G689" s="11" t="str">
        <f t="shared" si="414"/>
        <v>2017toJAN</v>
      </c>
      <c r="H689" s="11" t="str">
        <f t="shared" si="415"/>
        <v>CRSP06B</v>
      </c>
      <c r="I689" s="11" t="str">
        <f t="shared" si="416"/>
        <v>34</v>
      </c>
      <c r="J689" s="11" t="str">
        <f t="shared" si="417"/>
        <v>Creditor</v>
      </c>
      <c r="K689" s="11" t="str">
        <f t="shared" si="451"/>
        <v>CS002604</v>
      </c>
      <c r="L689" s="10" t="str">
        <f t="shared" si="452"/>
        <v>Venn Group Limited</v>
      </c>
      <c r="M689" s="12" t="str">
        <f>"11/01/2017 00:00:00"</f>
        <v>11/01/2017 00:00:00</v>
      </c>
      <c r="N689" s="12">
        <v>42746</v>
      </c>
      <c r="O689" s="10" t="str">
        <f>"C007767"</f>
        <v>C007767</v>
      </c>
      <c r="P689" s="13">
        <v>900</v>
      </c>
      <c r="Q689" s="11" t="str">
        <f>"900.0000"</f>
        <v>900.0000</v>
      </c>
      <c r="R689" s="10" t="str">
        <f>"C0004380"</f>
        <v>C0004380</v>
      </c>
      <c r="S689" s="14" t="str">
        <f>"3832.5000"</f>
        <v>3832.5000</v>
      </c>
      <c r="T689" s="10">
        <v>28730</v>
      </c>
      <c r="U689" s="10">
        <v>1136</v>
      </c>
      <c r="V689" s="10" t="str">
        <f t="shared" si="453"/>
        <v>Direct employee exps and bens</v>
      </c>
      <c r="W689" s="10" t="str">
        <f t="shared" si="454"/>
        <v>Employees</v>
      </c>
      <c r="X689" s="10" t="str">
        <f>VLOOKUP(U689,'[1]Account code lookup'!A:B,2,0)</f>
        <v>Agency Staff</v>
      </c>
      <c r="Z689" s="10" t="str">
        <f t="shared" si="455"/>
        <v>Finance and Procurement</v>
      </c>
      <c r="AA689" s="10" t="str">
        <f t="shared" si="456"/>
        <v>Chief Finance Officer</v>
      </c>
      <c r="AB689" s="10" t="str">
        <f t="shared" si="457"/>
        <v>3cfo</v>
      </c>
      <c r="AD689" s="10" t="str">
        <f t="shared" si="458"/>
        <v>cfo02</v>
      </c>
      <c r="AE689" s="10" t="str">
        <f t="shared" si="459"/>
        <v>Finance &amp; Procurement / Benefits</v>
      </c>
      <c r="AG689" s="10" t="str">
        <f t="shared" si="460"/>
        <v>28730/1136</v>
      </c>
      <c r="AI689" s="10" t="str">
        <f t="shared" si="461"/>
        <v>11emps</v>
      </c>
      <c r="AJ689" s="15" t="str">
        <f t="shared" si="462"/>
        <v>Gary Mattiello</v>
      </c>
      <c r="AK689" s="10" t="str">
        <f t="shared" si="450"/>
        <v>Revenue</v>
      </c>
      <c r="AL689" s="10" t="str">
        <f>""</f>
        <v/>
      </c>
      <c r="AM689" s="10" t="str">
        <f>""</f>
        <v/>
      </c>
      <c r="AN689" s="10" t="str">
        <f>""</f>
        <v/>
      </c>
      <c r="AO689" s="10" t="str">
        <f>""</f>
        <v/>
      </c>
    </row>
    <row r="690" spans="1:41" s="10" customFormat="1" ht="409.6">
      <c r="A690" s="9"/>
      <c r="B690" s="9"/>
      <c r="C690" s="9"/>
      <c r="D690" s="10" t="str">
        <f>"34504"</f>
        <v>34504</v>
      </c>
      <c r="E690" s="11" t="str">
        <f>""</f>
        <v/>
      </c>
      <c r="F690" s="11" t="str">
        <f t="shared" si="413"/>
        <v>372418</v>
      </c>
      <c r="G690" s="11" t="str">
        <f t="shared" si="414"/>
        <v>2017toJAN</v>
      </c>
      <c r="H690" s="11" t="str">
        <f t="shared" si="415"/>
        <v>CRSP06B</v>
      </c>
      <c r="I690" s="11" t="str">
        <f t="shared" si="416"/>
        <v>34</v>
      </c>
      <c r="J690" s="11" t="str">
        <f t="shared" si="417"/>
        <v>Creditor</v>
      </c>
      <c r="K690" s="11" t="str">
        <f t="shared" si="451"/>
        <v>CS002604</v>
      </c>
      <c r="L690" s="10" t="str">
        <f t="shared" si="452"/>
        <v>Venn Group Limited</v>
      </c>
      <c r="M690" s="12" t="str">
        <f>"11/01/2017 00:00:00"</f>
        <v>11/01/2017 00:00:00</v>
      </c>
      <c r="N690" s="12">
        <v>42746</v>
      </c>
      <c r="O690" s="10" t="str">
        <f>"C007777"</f>
        <v>C007777</v>
      </c>
      <c r="P690" s="13">
        <v>431.25</v>
      </c>
      <c r="Q690" s="11" t="str">
        <f>"431.2500"</f>
        <v>431.2500</v>
      </c>
      <c r="R690" s="10" t="str">
        <f>"C0004380"</f>
        <v>C0004380</v>
      </c>
      <c r="S690" s="14" t="str">
        <f>"3832.5000"</f>
        <v>3832.5000</v>
      </c>
      <c r="T690" s="10">
        <v>28730</v>
      </c>
      <c r="U690" s="10">
        <v>1136</v>
      </c>
      <c r="V690" s="10" t="str">
        <f t="shared" si="453"/>
        <v>Direct employee exps and bens</v>
      </c>
      <c r="W690" s="10" t="str">
        <f t="shared" si="454"/>
        <v>Employees</v>
      </c>
      <c r="X690" s="10" t="str">
        <f>VLOOKUP(U690,'[1]Account code lookup'!A:B,2,0)</f>
        <v>Agency Staff</v>
      </c>
      <c r="Z690" s="10" t="str">
        <f t="shared" si="455"/>
        <v>Finance and Procurement</v>
      </c>
      <c r="AA690" s="10" t="str">
        <f t="shared" si="456"/>
        <v>Chief Finance Officer</v>
      </c>
      <c r="AB690" s="10" t="str">
        <f t="shared" si="457"/>
        <v>3cfo</v>
      </c>
      <c r="AD690" s="10" t="str">
        <f t="shared" si="458"/>
        <v>cfo02</v>
      </c>
      <c r="AE690" s="10" t="str">
        <f t="shared" si="459"/>
        <v>Finance &amp; Procurement / Benefits</v>
      </c>
      <c r="AG690" s="10" t="str">
        <f t="shared" si="460"/>
        <v>28730/1136</v>
      </c>
      <c r="AI690" s="10" t="str">
        <f t="shared" si="461"/>
        <v>11emps</v>
      </c>
      <c r="AJ690" s="15" t="str">
        <f t="shared" si="462"/>
        <v>Gary Mattiello</v>
      </c>
      <c r="AK690" s="10" t="str">
        <f t="shared" si="450"/>
        <v>Revenue</v>
      </c>
      <c r="AL690" s="10" t="str">
        <f>""</f>
        <v/>
      </c>
      <c r="AM690" s="10" t="str">
        <f>""</f>
        <v/>
      </c>
      <c r="AN690" s="10" t="str">
        <f>""</f>
        <v/>
      </c>
      <c r="AO690" s="10" t="str">
        <f>""</f>
        <v/>
      </c>
    </row>
    <row r="691" spans="1:41" s="10" customFormat="1" ht="409.6">
      <c r="A691" s="9"/>
      <c r="B691" s="9"/>
      <c r="C691" s="9"/>
      <c r="D691" s="10" t="str">
        <f>"34505"</f>
        <v>34505</v>
      </c>
      <c r="E691" s="11" t="str">
        <f>""</f>
        <v/>
      </c>
      <c r="F691" s="11" t="str">
        <f t="shared" si="413"/>
        <v>372418</v>
      </c>
      <c r="G691" s="11" t="str">
        <f t="shared" si="414"/>
        <v>2017toJAN</v>
      </c>
      <c r="H691" s="11" t="str">
        <f t="shared" si="415"/>
        <v>CRSP06B</v>
      </c>
      <c r="I691" s="11" t="str">
        <f t="shared" si="416"/>
        <v>34</v>
      </c>
      <c r="J691" s="11" t="str">
        <f t="shared" si="417"/>
        <v>Creditor</v>
      </c>
      <c r="K691" s="11" t="str">
        <f t="shared" si="451"/>
        <v>CS002604</v>
      </c>
      <c r="L691" s="10" t="str">
        <f t="shared" si="452"/>
        <v>Venn Group Limited</v>
      </c>
      <c r="M691" s="12" t="str">
        <f>"18/01/2017 00:00:00"</f>
        <v>18/01/2017 00:00:00</v>
      </c>
      <c r="N691" s="12">
        <v>42753</v>
      </c>
      <c r="O691" s="10" t="str">
        <f>"C007936"</f>
        <v>C007936</v>
      </c>
      <c r="P691" s="13">
        <v>762.5</v>
      </c>
      <c r="Q691" s="11" t="str">
        <f>"762.5000"</f>
        <v>762.5000</v>
      </c>
      <c r="R691" s="10" t="str">
        <f>"C0004487"</f>
        <v>C0004487</v>
      </c>
      <c r="S691" s="14" t="str">
        <f>"915.0000"</f>
        <v>915.0000</v>
      </c>
      <c r="T691" s="10">
        <v>28730</v>
      </c>
      <c r="U691" s="10">
        <v>1136</v>
      </c>
      <c r="V691" s="10" t="str">
        <f t="shared" si="453"/>
        <v>Direct employee exps and bens</v>
      </c>
      <c r="W691" s="10" t="str">
        <f t="shared" si="454"/>
        <v>Employees</v>
      </c>
      <c r="X691" s="10" t="str">
        <f>VLOOKUP(U691,'[1]Account code lookup'!A:B,2,0)</f>
        <v>Agency Staff</v>
      </c>
      <c r="Z691" s="10" t="str">
        <f t="shared" si="455"/>
        <v>Finance and Procurement</v>
      </c>
      <c r="AA691" s="10" t="str">
        <f t="shared" si="456"/>
        <v>Chief Finance Officer</v>
      </c>
      <c r="AB691" s="10" t="str">
        <f t="shared" si="457"/>
        <v>3cfo</v>
      </c>
      <c r="AD691" s="10" t="str">
        <f t="shared" si="458"/>
        <v>cfo02</v>
      </c>
      <c r="AE691" s="10" t="str">
        <f t="shared" si="459"/>
        <v>Finance &amp; Procurement / Benefits</v>
      </c>
      <c r="AG691" s="10" t="str">
        <f t="shared" si="460"/>
        <v>28730/1136</v>
      </c>
      <c r="AI691" s="10" t="str">
        <f t="shared" si="461"/>
        <v>11emps</v>
      </c>
      <c r="AJ691" s="15" t="str">
        <f t="shared" si="462"/>
        <v>Gary Mattiello</v>
      </c>
      <c r="AK691" s="10" t="str">
        <f t="shared" si="450"/>
        <v>Revenue</v>
      </c>
      <c r="AL691" s="10" t="str">
        <f>""</f>
        <v/>
      </c>
      <c r="AM691" s="10" t="str">
        <f>""</f>
        <v/>
      </c>
      <c r="AN691" s="10" t="str">
        <f>""</f>
        <v/>
      </c>
      <c r="AO691" s="10" t="str">
        <f>""</f>
        <v/>
      </c>
    </row>
    <row r="692" spans="1:41" s="10" customFormat="1" ht="409.6">
      <c r="A692" s="9"/>
      <c r="B692" s="9"/>
      <c r="C692" s="9"/>
      <c r="D692" s="10" t="str">
        <f>"34506"</f>
        <v>34506</v>
      </c>
      <c r="E692" s="11" t="str">
        <f>""</f>
        <v/>
      </c>
      <c r="F692" s="11" t="str">
        <f t="shared" si="413"/>
        <v>372418</v>
      </c>
      <c r="G692" s="11" t="str">
        <f t="shared" si="414"/>
        <v>2017toJAN</v>
      </c>
      <c r="H692" s="11" t="str">
        <f t="shared" si="415"/>
        <v>CRSP06B</v>
      </c>
      <c r="I692" s="11" t="str">
        <f t="shared" si="416"/>
        <v>34</v>
      </c>
      <c r="J692" s="11" t="str">
        <f t="shared" si="417"/>
        <v>Creditor</v>
      </c>
      <c r="K692" s="11" t="str">
        <f t="shared" si="451"/>
        <v>CS002604</v>
      </c>
      <c r="L692" s="10" t="str">
        <f t="shared" si="452"/>
        <v>Venn Group Limited</v>
      </c>
      <c r="M692" s="12" t="str">
        <f>"23/01/2017 00:00:00"</f>
        <v>23/01/2017 00:00:00</v>
      </c>
      <c r="N692" s="12">
        <v>42758</v>
      </c>
      <c r="O692" s="10" t="str">
        <f>"C008038"</f>
        <v>C008038</v>
      </c>
      <c r="P692" s="13">
        <v>687.5</v>
      </c>
      <c r="Q692" s="11" t="str">
        <f>"687.5000"</f>
        <v>687.5000</v>
      </c>
      <c r="R692" s="10" t="str">
        <f>"C0004546"</f>
        <v>C0004546</v>
      </c>
      <c r="S692" s="14" t="str">
        <f>"825.0000"</f>
        <v>825.0000</v>
      </c>
      <c r="T692" s="10">
        <v>28730</v>
      </c>
      <c r="U692" s="10">
        <v>1136</v>
      </c>
      <c r="V692" s="10" t="str">
        <f t="shared" si="453"/>
        <v>Direct employee exps and bens</v>
      </c>
      <c r="W692" s="10" t="str">
        <f t="shared" si="454"/>
        <v>Employees</v>
      </c>
      <c r="X692" s="10" t="str">
        <f>VLOOKUP(U692,'[1]Account code lookup'!A:B,2,0)</f>
        <v>Agency Staff</v>
      </c>
      <c r="Z692" s="10" t="str">
        <f t="shared" si="455"/>
        <v>Finance and Procurement</v>
      </c>
      <c r="AA692" s="10" t="str">
        <f t="shared" si="456"/>
        <v>Chief Finance Officer</v>
      </c>
      <c r="AB692" s="10" t="str">
        <f t="shared" si="457"/>
        <v>3cfo</v>
      </c>
      <c r="AD692" s="10" t="str">
        <f t="shared" si="458"/>
        <v>cfo02</v>
      </c>
      <c r="AE692" s="10" t="str">
        <f t="shared" si="459"/>
        <v>Finance &amp; Procurement / Benefits</v>
      </c>
      <c r="AG692" s="10" t="str">
        <f t="shared" si="460"/>
        <v>28730/1136</v>
      </c>
      <c r="AI692" s="10" t="str">
        <f t="shared" si="461"/>
        <v>11emps</v>
      </c>
      <c r="AJ692" s="15" t="str">
        <f t="shared" si="462"/>
        <v>Gary Mattiello</v>
      </c>
      <c r="AK692" s="10" t="str">
        <f t="shared" si="450"/>
        <v>Revenue</v>
      </c>
      <c r="AL692" s="10" t="str">
        <f>""</f>
        <v/>
      </c>
      <c r="AM692" s="10" t="str">
        <f>""</f>
        <v/>
      </c>
      <c r="AN692" s="10" t="str">
        <f>""</f>
        <v/>
      </c>
      <c r="AO692" s="10" t="str">
        <f>""</f>
        <v/>
      </c>
    </row>
    <row r="693" spans="1:41" s="10" customFormat="1" ht="409.6">
      <c r="A693" s="9"/>
      <c r="B693" s="9"/>
      <c r="C693" s="9"/>
      <c r="D693" s="10" t="str">
        <f>"34507"</f>
        <v>34507</v>
      </c>
      <c r="E693" s="11" t="str">
        <f>""</f>
        <v/>
      </c>
      <c r="F693" s="11" t="str">
        <f t="shared" si="413"/>
        <v>372418</v>
      </c>
      <c r="G693" s="11" t="str">
        <f t="shared" si="414"/>
        <v>2017toJAN</v>
      </c>
      <c r="H693" s="11" t="str">
        <f t="shared" si="415"/>
        <v>CRSP06B</v>
      </c>
      <c r="I693" s="11" t="str">
        <f t="shared" si="416"/>
        <v>34</v>
      </c>
      <c r="J693" s="11" t="str">
        <f t="shared" si="417"/>
        <v>Creditor</v>
      </c>
      <c r="K693" s="11" t="str">
        <f>"CS002166"</f>
        <v>CS002166</v>
      </c>
      <c r="L693" s="10" t="str">
        <f>"Washington House Surgery"</f>
        <v>Washington House Surgery</v>
      </c>
      <c r="M693" s="12" t="str">
        <f>"27/01/2017 00:00:00"</f>
        <v>27/01/2017 00:00:00</v>
      </c>
      <c r="N693" s="12">
        <v>42762</v>
      </c>
      <c r="O693" s="10" t="str">
        <f>"C007876"</f>
        <v>C007876</v>
      </c>
      <c r="P693" s="13">
        <v>1369.45</v>
      </c>
      <c r="Q693" s="11" t="str">
        <f>"1369.4500"</f>
        <v>1369.4500</v>
      </c>
      <c r="R693" s="10" t="str">
        <f>"C0004620"</f>
        <v>C0004620</v>
      </c>
      <c r="S693" s="14" t="str">
        <f>"1643.3400"</f>
        <v>1643.3400</v>
      </c>
      <c r="T693" s="10">
        <v>21730</v>
      </c>
      <c r="U693" s="10">
        <v>1169</v>
      </c>
      <c r="V693" s="10" t="str">
        <f>"Indirect employee expenses"</f>
        <v>Indirect employee expenses</v>
      </c>
      <c r="W693" s="10" t="str">
        <f t="shared" si="454"/>
        <v>Employees</v>
      </c>
      <c r="X693" s="10" t="str">
        <f>VLOOKUP(U693,'[1]Account code lookup'!A:B,2,0)</f>
        <v>Medical Fees</v>
      </c>
      <c r="Z693" s="10" t="str">
        <f>"Human Resources"</f>
        <v>Human Resources</v>
      </c>
      <c r="AA693" s="10" t="str">
        <f>"Commercial Development"</f>
        <v>Commercial Development</v>
      </c>
      <c r="AB693" s="10" t="str">
        <f>"2cdb"</f>
        <v>2cdb</v>
      </c>
      <c r="AD693" s="10" t="str">
        <f>"cdb03"</f>
        <v>cdb03</v>
      </c>
      <c r="AE693" s="10" t="str">
        <f>"Finance &amp; Procurement / Head of Finance &amp; Procurement"</f>
        <v>Finance &amp; Procurement / Head of Finance &amp; Procurement</v>
      </c>
      <c r="AG693" s="10" t="str">
        <f>"21730/1169"</f>
        <v>21730/1169</v>
      </c>
      <c r="AI693" s="10" t="str">
        <f t="shared" si="461"/>
        <v>11emps</v>
      </c>
      <c r="AJ693" s="15" t="str">
        <f>"Medical Services - Monthly Invoice_x000D_
Invoice 1371"</f>
        <v>Medical Services - Monthly Invoice_x000D_
Invoice 1371</v>
      </c>
      <c r="AK693" s="10" t="str">
        <f t="shared" si="450"/>
        <v>Revenue</v>
      </c>
      <c r="AL693" s="10" t="str">
        <f>""</f>
        <v/>
      </c>
      <c r="AM693" s="10" t="str">
        <f>""</f>
        <v/>
      </c>
      <c r="AN693" s="10" t="str">
        <f>""</f>
        <v/>
      </c>
      <c r="AO693" s="10" t="str">
        <f>""</f>
        <v/>
      </c>
    </row>
    <row r="694" spans="1:41" s="10" customFormat="1" ht="409.6">
      <c r="A694" s="9"/>
      <c r="B694" s="9"/>
      <c r="C694" s="9"/>
      <c r="D694" s="10" t="str">
        <f>"34508"</f>
        <v>34508</v>
      </c>
      <c r="E694" s="11" t="str">
        <f>""</f>
        <v/>
      </c>
      <c r="F694" s="11" t="str">
        <f t="shared" si="413"/>
        <v>372418</v>
      </c>
      <c r="G694" s="11" t="str">
        <f t="shared" si="414"/>
        <v>2017toJAN</v>
      </c>
      <c r="H694" s="11" t="str">
        <f t="shared" si="415"/>
        <v>CRSP06B</v>
      </c>
      <c r="I694" s="11" t="str">
        <f t="shared" si="416"/>
        <v>34</v>
      </c>
      <c r="J694" s="11" t="str">
        <f t="shared" si="417"/>
        <v>Creditor</v>
      </c>
      <c r="K694" s="11" t="str">
        <f>"CS002185"</f>
        <v>CS002185</v>
      </c>
      <c r="L694" s="10" t="str">
        <f>"West Midlands Employers"</f>
        <v>West Midlands Employers</v>
      </c>
      <c r="M694" s="12" t="str">
        <f>"13/01/2017 00:00:00"</f>
        <v>13/01/2017 00:00:00</v>
      </c>
      <c r="N694" s="12">
        <v>42748</v>
      </c>
      <c r="O694" s="10" t="str">
        <f>"C007442"</f>
        <v>C007442</v>
      </c>
      <c r="P694" s="13">
        <v>862.5</v>
      </c>
      <c r="Q694" s="11" t="str">
        <f>"862.5000"</f>
        <v>862.5000</v>
      </c>
      <c r="R694" s="10" t="str">
        <f>"C0004418"</f>
        <v>C0004418</v>
      </c>
      <c r="S694" s="14" t="str">
        <f>"1035.0000"</f>
        <v>1035.0000</v>
      </c>
      <c r="T694" s="10">
        <v>21730</v>
      </c>
      <c r="U694" s="10">
        <v>1765</v>
      </c>
      <c r="V694" s="10" t="str">
        <f>"Professional Fees"</f>
        <v>Professional Fees</v>
      </c>
      <c r="W694" s="10" t="str">
        <f>"Third Party Payments"</f>
        <v>Third Party Payments</v>
      </c>
      <c r="X694" s="10" t="str">
        <f>VLOOKUP(U694,'[1]Account code lookup'!A:B,2,0)</f>
        <v>Consultants Fees</v>
      </c>
      <c r="Z694" s="10" t="str">
        <f>"Human Resources"</f>
        <v>Human Resources</v>
      </c>
      <c r="AA694" s="10" t="str">
        <f>"Commercial Development"</f>
        <v>Commercial Development</v>
      </c>
      <c r="AB694" s="10" t="str">
        <f>"2cdb"</f>
        <v>2cdb</v>
      </c>
      <c r="AD694" s="10" t="str">
        <f>"cdb03"</f>
        <v>cdb03</v>
      </c>
      <c r="AE694" s="10" t="str">
        <f>"Finance &amp; Procurement / Head of Finance &amp; Procurement"</f>
        <v>Finance &amp; Procurement / Head of Finance &amp; Procurement</v>
      </c>
      <c r="AG694" s="10" t="str">
        <f>"21730/1765"</f>
        <v>21730/1765</v>
      </c>
      <c r="AI694" s="10" t="str">
        <f>"17tpp"</f>
        <v>17tpp</v>
      </c>
      <c r="AJ694" s="15" t="str">
        <f>"Review of Job Evaluation &amp; Pay and Grading Options Paper_x000D_
1 day 25th October (Management Report)_x000D_
½ day 11th November (Data Analysis)_x000D_
Cost : 1.5 days @ £575.00 / day_x000D_
Consultant : Lesley Shore"</f>
        <v>Review of Job Evaluation &amp; Pay and Grading Options Paper_x000D_
1 day 25th October (Management Report)_x000D_
½ day 11th November (Data Analysis)_x000D_
Cost : 1.5 days @ £575.00 / day_x000D_
Consultant : Lesley Shore</v>
      </c>
      <c r="AK694" s="10" t="str">
        <f t="shared" si="450"/>
        <v>Revenue</v>
      </c>
      <c r="AL694" s="10" t="str">
        <f>""</f>
        <v/>
      </c>
      <c r="AM694" s="10" t="str">
        <f>""</f>
        <v/>
      </c>
      <c r="AN694" s="10" t="str">
        <f>""</f>
        <v/>
      </c>
      <c r="AO694" s="10" t="str">
        <f>""</f>
        <v/>
      </c>
    </row>
    <row r="695" spans="1:41" s="10" customFormat="1" ht="409.6">
      <c r="A695" s="9"/>
      <c r="B695" s="9"/>
      <c r="C695" s="9"/>
      <c r="D695" s="10" t="str">
        <f>"34862"</f>
        <v>34862</v>
      </c>
      <c r="E695" s="11" t="str">
        <f>""</f>
        <v/>
      </c>
      <c r="F695" s="11" t="str">
        <f t="shared" si="413"/>
        <v>372418</v>
      </c>
      <c r="G695" s="11" t="str">
        <f t="shared" si="414"/>
        <v>2017toJAN</v>
      </c>
      <c r="H695" s="11" t="str">
        <f t="shared" si="415"/>
        <v>CRSP06B</v>
      </c>
      <c r="I695" s="11" t="str">
        <f t="shared" si="416"/>
        <v>34</v>
      </c>
      <c r="J695" s="11" t="str">
        <f t="shared" si="417"/>
        <v>Creditor</v>
      </c>
      <c r="K695" s="11" t="str">
        <f>"CS002569"</f>
        <v>CS002569</v>
      </c>
      <c r="L695" s="10" t="str">
        <f>"Wharton Tree &amp; Ecology Consultants Ltd"</f>
        <v>Wharton Tree &amp; Ecology Consultants Ltd</v>
      </c>
      <c r="M695" s="12" t="str">
        <f>"19/01/2017 00:00:00"</f>
        <v>19/01/2017 00:00:00</v>
      </c>
      <c r="N695" s="12">
        <v>42754</v>
      </c>
      <c r="O695" s="10" t="str">
        <f>"C008016"</f>
        <v>C008016</v>
      </c>
      <c r="P695" s="13">
        <v>470.81</v>
      </c>
      <c r="Q695" s="11" t="str">
        <f>"470.8100"</f>
        <v>470.8100</v>
      </c>
      <c r="R695" s="10" t="str">
        <f>"059249"</f>
        <v>059249</v>
      </c>
      <c r="S695" s="14" t="str">
        <f>"564.9700"</f>
        <v>564.9700</v>
      </c>
      <c r="T695" s="10">
        <v>21717</v>
      </c>
      <c r="U695" s="10">
        <v>1200</v>
      </c>
      <c r="V695" s="10" t="str">
        <f>"Repairs &amp; Maintenance"</f>
        <v>Repairs &amp; Maintenance</v>
      </c>
      <c r="W695" s="10" t="str">
        <f>"Premises Related Expenditure"</f>
        <v>Premises Related Expenditure</v>
      </c>
      <c r="X695" s="10" t="str">
        <f>VLOOKUP(U695,'[1]Account code lookup'!A:B,2,0)</f>
        <v>Repair &amp; Maintenance</v>
      </c>
      <c r="Z695" s="10" t="str">
        <f>"Regeneration and Housing"</f>
        <v>Regeneration and Housing</v>
      </c>
      <c r="AA695" s="10" t="str">
        <f>"Commercial Development"</f>
        <v>Commercial Development</v>
      </c>
      <c r="AB695" s="10" t="str">
        <f>"2cdb"</f>
        <v>2cdb</v>
      </c>
      <c r="AD695" s="10" t="str">
        <f>"cdb02"</f>
        <v>cdb02</v>
      </c>
      <c r="AE695" s="10" t="str">
        <f>"Finance &amp; Procurement / Finance"</f>
        <v>Finance &amp; Procurement / Finance</v>
      </c>
      <c r="AG695" s="10" t="str">
        <f>"21717/1200"</f>
        <v>21717/1200</v>
      </c>
      <c r="AI695" s="10" t="str">
        <f>"12prem"</f>
        <v>12prem</v>
      </c>
      <c r="AJ695" s="15" t="str">
        <f>"MILCOMBE DOVECOTE_x000D_
_x000D_
Preliminary Roost Assessment and report_x000D_
Biological records_x000D_
Expenses_x000D_
_x000D_
Ref 311016 020 Inv 1222"</f>
        <v>MILCOMBE DOVECOTE_x000D_
_x000D_
Preliminary Roost Assessment and report_x000D_
Biological records_x000D_
Expenses_x000D_
_x000D_
Ref 311016 020 Inv 1222</v>
      </c>
      <c r="AK695" s="10" t="str">
        <f t="shared" si="450"/>
        <v>Revenue</v>
      </c>
      <c r="AL695" s="10" t="str">
        <f>""</f>
        <v/>
      </c>
      <c r="AM695" s="10" t="str">
        <f>""</f>
        <v/>
      </c>
      <c r="AN695" s="10" t="str">
        <f>""</f>
        <v/>
      </c>
      <c r="AO695" s="10" t="str">
        <f>""</f>
        <v/>
      </c>
    </row>
    <row r="696" spans="1:41" s="10" customFormat="1" ht="409.6">
      <c r="A696" s="9"/>
      <c r="B696" s="9"/>
      <c r="C696" s="9"/>
      <c r="D696" s="10" t="str">
        <f>"35035"</f>
        <v>35035</v>
      </c>
      <c r="E696" s="11" t="str">
        <f>""</f>
        <v/>
      </c>
      <c r="F696" s="11" t="str">
        <f t="shared" si="413"/>
        <v>372418</v>
      </c>
      <c r="G696" s="11" t="str">
        <f t="shared" si="414"/>
        <v>2017toJAN</v>
      </c>
      <c r="H696" s="11" t="str">
        <f t="shared" si="415"/>
        <v>CRSP06B</v>
      </c>
      <c r="I696" s="11" t="str">
        <f t="shared" si="416"/>
        <v>34</v>
      </c>
      <c r="J696" s="11" t="str">
        <f t="shared" si="417"/>
        <v>Creditor</v>
      </c>
      <c r="K696" s="11" t="str">
        <f>"CS002087"</f>
        <v>CS002087</v>
      </c>
      <c r="L696" s="10" t="str">
        <f>"Wyg Group"</f>
        <v>Wyg Group</v>
      </c>
      <c r="M696" s="12" t="str">
        <f>"23/01/2017 00:00:00"</f>
        <v>23/01/2017 00:00:00</v>
      </c>
      <c r="N696" s="12">
        <v>42758</v>
      </c>
      <c r="O696" s="10" t="str">
        <f>"C008058"</f>
        <v>C008058</v>
      </c>
      <c r="P696" s="13">
        <v>14162</v>
      </c>
      <c r="Q696" s="11" t="str">
        <f>"14162.0000"</f>
        <v>14162.0000</v>
      </c>
      <c r="R696" s="10" t="str">
        <f>"C0004541"</f>
        <v>C0004541</v>
      </c>
      <c r="S696" s="14" t="str">
        <f>"16994.4000"</f>
        <v>16994.4000</v>
      </c>
      <c r="T696" s="10">
        <v>29200</v>
      </c>
      <c r="U696" s="10">
        <v>1767</v>
      </c>
      <c r="V696" s="10" t="str">
        <f>"Professional Fees"</f>
        <v>Professional Fees</v>
      </c>
      <c r="W696" s="10" t="str">
        <f>"Third Party Payments"</f>
        <v>Third Party Payments</v>
      </c>
      <c r="X696" s="10" t="str">
        <f>VLOOKUP(U696,'[1]Account code lookup'!A:B,2,0)</f>
        <v>Professional Fees</v>
      </c>
      <c r="Z696" s="10" t="str">
        <f>"Strategic Planning Economy"</f>
        <v>Strategic Planning Economy</v>
      </c>
      <c r="AA696" s="10" t="str">
        <f>"Strategy and Commissioning"</f>
        <v>Strategy and Commissioning</v>
      </c>
      <c r="AB696" s="10" t="str">
        <f>"4sac"</f>
        <v>4sac</v>
      </c>
      <c r="AD696" s="10" t="str">
        <f>"sac01"</f>
        <v>sac01</v>
      </c>
      <c r="AE696" s="10" t="str">
        <f>"Finance &amp; Procurement / Head of Finance &amp; Procurement"</f>
        <v>Finance &amp; Procurement / Head of Finance &amp; Procurement</v>
      </c>
      <c r="AG696" s="10" t="str">
        <f>"29200/1767"</f>
        <v>29200/1767</v>
      </c>
      <c r="AI696" s="10" t="str">
        <f>"17tpp"</f>
        <v>17tpp</v>
      </c>
      <c r="AJ696" s="15" t="str">
        <f>"Local Plan Site Assessments"</f>
        <v>Local Plan Site Assessments</v>
      </c>
      <c r="AK696" s="10" t="str">
        <f t="shared" si="450"/>
        <v>Revenue</v>
      </c>
      <c r="AL696" s="10" t="str">
        <f>""</f>
        <v/>
      </c>
      <c r="AM696" s="10" t="str">
        <f>""</f>
        <v/>
      </c>
      <c r="AN696" s="10" t="str">
        <f>""</f>
        <v/>
      </c>
      <c r="AO696" s="10" t="str">
        <f>""</f>
        <v/>
      </c>
    </row>
  </sheetData>
  <sheetProtection password="DFF3" sheet="1" objects="1" scenarios="1"/>
  <dataValidations count="4">
    <dataValidation type="list" allowBlank="1" showInputMessage="1" showErrorMessage="1" sqref="CP1 WYX1 WPB1 WFF1 VVJ1 VLN1 VBR1 URV1 UHZ1 TYD1 TOH1 TEL1 SUP1 SKT1 SAX1 RRB1 RHF1 QXJ1 QNN1 QDR1 PTV1 PJZ1 PAD1 OQH1 OGL1 NWP1 NMT1 NCX1 MTB1 MJF1 LZJ1 LPN1 LFR1 KVV1 KLZ1 KCD1 JSH1 JIL1 IYP1 IOT1 IEX1 HVB1 HLF1 HBJ1 GRN1 GHR1 FXV1 FNZ1 FED1 EUH1 EKL1 EAP1 DQT1 DGX1 CXB1 CNF1 CDJ1 BTN1 BJR1 AZV1 APZ1 AGD1 WH1 ML1">
      <formula1>$CP$1</formula1>
    </dataValidation>
    <dataValidation type="list" allowBlank="1" showInputMessage="1" showErrorMessage="1" sqref="C2:C696 WVS2:WVS696 WLW2:WLW696 WCA2:WCA696 VSE2:VSE696 VII2:VII696 UYM2:UYM696 UOQ2:UOQ696 UEU2:UEU696 TUY2:TUY696 TLC2:TLC696 TBG2:TBG696 SRK2:SRK696 SHO2:SHO696 RXS2:RXS696 RNW2:RNW696 REA2:REA696 QUE2:QUE696 QKI2:QKI696 QAM2:QAM696 PQQ2:PQQ696 PGU2:PGU696 OWY2:OWY696 ONC2:ONC696 ODG2:ODG696 NTK2:NTK696 NJO2:NJO696 MZS2:MZS696 MPW2:MPW696 MGA2:MGA696 LWE2:LWE696 LMI2:LMI696 LCM2:LCM696 KSQ2:KSQ696 KIU2:KIU696 JYY2:JYY696 JPC2:JPC696 JFG2:JFG696 IVK2:IVK696 ILO2:ILO696 IBS2:IBS696 HRW2:HRW696 HIA2:HIA696 GYE2:GYE696 GOI2:GOI696 GEM2:GEM696 FUQ2:FUQ696 FKU2:FKU696 FAY2:FAY696 ERC2:ERC696 EHG2:EHG696 DXK2:DXK696 DNO2:DNO696 DDS2:DDS696 CTW2:CTW696 CKA2:CKA696 CAE2:CAE696 BQI2:BQI696 BGM2:BGM696 AWQ2:AWQ696 AMU2:AMU696 ACY2:ACY696 TC2:TC696 JG2:JG696">
      <formula1>$BM$2:$BM$10</formula1>
    </dataValidation>
    <dataValidation type="list" allowBlank="1" showInputMessage="1" showErrorMessage="1" sqref="B2:B696 WVR2:WVR696 WLV2:WLV696 WBZ2:WBZ696 VSD2:VSD696 VIH2:VIH696 UYL2:UYL696 UOP2:UOP696 UET2:UET696 TUX2:TUX696 TLB2:TLB696 TBF2:TBF696 SRJ2:SRJ696 SHN2:SHN696 RXR2:RXR696 RNV2:RNV696 RDZ2:RDZ696 QUD2:QUD696 QKH2:QKH696 QAL2:QAL696 PQP2:PQP696 PGT2:PGT696 OWX2:OWX696 ONB2:ONB696 ODF2:ODF696 NTJ2:NTJ696 NJN2:NJN696 MZR2:MZR696 MPV2:MPV696 MFZ2:MFZ696 LWD2:LWD696 LMH2:LMH696 LCL2:LCL696 KSP2:KSP696 KIT2:KIT696 JYX2:JYX696 JPB2:JPB696 JFF2:JFF696 IVJ2:IVJ696 ILN2:ILN696 IBR2:IBR696 HRV2:HRV696 HHZ2:HHZ696 GYD2:GYD696 GOH2:GOH696 GEL2:GEL696 FUP2:FUP696 FKT2:FKT696 FAX2:FAX696 ERB2:ERB696 EHF2:EHF696 DXJ2:DXJ696 DNN2:DNN696 DDR2:DDR696 CTV2:CTV696 CJZ2:CJZ696 CAD2:CAD696 BQH2:BQH696 BGL2:BGL696 AWP2:AWP696 AMT2:AMT696 ACX2:ACX696 TB2:TB696 JF2:JF696">
      <formula1>$BL$2:$BL$4</formula1>
    </dataValidation>
    <dataValidation type="list" allowBlank="1" showInputMessage="1" showErrorMessage="1" sqref="A2:A696 WVQ2:WVQ696 WLU2:WLU696 WBY2:WBY696 VSC2:VSC696 VIG2:VIG696 UYK2:UYK696 UOO2:UOO696 UES2:UES696 TUW2:TUW696 TLA2:TLA696 TBE2:TBE696 SRI2:SRI696 SHM2:SHM696 RXQ2:RXQ696 RNU2:RNU696 RDY2:RDY696 QUC2:QUC696 QKG2:QKG696 QAK2:QAK696 PQO2:PQO696 PGS2:PGS696 OWW2:OWW696 ONA2:ONA696 ODE2:ODE696 NTI2:NTI696 NJM2:NJM696 MZQ2:MZQ696 MPU2:MPU696 MFY2:MFY696 LWC2:LWC696 LMG2:LMG696 LCK2:LCK696 KSO2:KSO696 KIS2:KIS696 JYW2:JYW696 JPA2:JPA696 JFE2:JFE696 IVI2:IVI696 ILM2:ILM696 IBQ2:IBQ696 HRU2:HRU696 HHY2:HHY696 GYC2:GYC696 GOG2:GOG696 GEK2:GEK696 FUO2:FUO696 FKS2:FKS696 FAW2:FAW696 ERA2:ERA696 EHE2:EHE696 DXI2:DXI696 DNM2:DNM696 DDQ2:DDQ696 CTU2:CTU696 CJY2:CJY696 CAC2:CAC696 BQG2:BQG696 BGK2:BGK696 AWO2:AWO696 AMS2:AMS696 ACW2:ACW696 TA2:TA696 JE2:JE696">
      <formula1>$BK$2:$BK$4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January 2017</vt:lpstr>
      <vt:lpstr>Sheet2</vt:lpstr>
      <vt:lpstr>Sheet3</vt:lpstr>
    </vt:vector>
  </TitlesOfParts>
  <Company>Cherwell District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Leanne Lock</dc:creator>
  <cp:lastModifiedBy>Leanne Lock</cp:lastModifiedBy>
  <dcterms:created xsi:type="dcterms:W3CDTF">2017-03-06T09:05:06Z</dcterms:created>
  <dcterms:modified xsi:type="dcterms:W3CDTF">2017-03-07T09:15:09Z</dcterms:modified>
</cp:coreProperties>
</file>